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\Dropbox\FRS\Contests\2014\20140607_Ul-Cup\"/>
    </mc:Choice>
  </mc:AlternateContent>
  <bookViews>
    <workbookView xWindow="120" yWindow="30" windowWidth="12120" windowHeight="6435" tabRatio="559"/>
  </bookViews>
  <sheets>
    <sheet name="Reg" sheetId="16" r:id="rId1"/>
    <sheet name="List" sheetId="26" r:id="rId2"/>
    <sheet name="А (Ж)" sheetId="17" r:id="rId3"/>
    <sheet name="А (М)" sheetId="1" r:id="rId4"/>
    <sheet name="B (Ж)" sheetId="19" r:id="rId5"/>
    <sheet name="B (М)" sheetId="18" r:id="rId6"/>
    <sheet name="C (Ж)" sheetId="21" r:id="rId7"/>
    <sheet name="C (М)" sheetId="20" r:id="rId8"/>
  </sheets>
  <calcPr calcId="152511"/>
</workbook>
</file>

<file path=xl/calcChain.xml><?xml version="1.0" encoding="utf-8"?>
<calcChain xmlns="http://schemas.openxmlformats.org/spreadsheetml/2006/main">
  <c r="K202" i="16" l="1"/>
  <c r="K201" i="16"/>
  <c r="K200" i="16"/>
  <c r="K199" i="16"/>
  <c r="K198" i="16"/>
  <c r="K197" i="16"/>
  <c r="K196" i="16"/>
  <c r="K195" i="16"/>
  <c r="K194" i="16"/>
  <c r="K193" i="16"/>
  <c r="K192" i="16"/>
  <c r="K191" i="16"/>
  <c r="K190" i="16"/>
  <c r="K189" i="16"/>
  <c r="K188" i="16"/>
  <c r="K187" i="16"/>
  <c r="K186" i="16"/>
  <c r="K185" i="16"/>
  <c r="K184" i="16"/>
  <c r="K183" i="16"/>
  <c r="K182" i="16"/>
  <c r="K181" i="16"/>
  <c r="K180" i="16"/>
  <c r="K179" i="16"/>
  <c r="K178" i="16"/>
  <c r="K177" i="16"/>
  <c r="K176" i="16"/>
  <c r="K175" i="16"/>
  <c r="K174" i="16"/>
  <c r="K173" i="16"/>
  <c r="K172" i="16"/>
  <c r="K171" i="16"/>
  <c r="K170" i="16"/>
  <c r="K169" i="16"/>
  <c r="K168" i="16"/>
  <c r="K167" i="16"/>
  <c r="K166" i="16"/>
  <c r="K165" i="16"/>
  <c r="K164" i="16"/>
  <c r="K163" i="16"/>
  <c r="K162" i="16"/>
  <c r="K161" i="16"/>
  <c r="K160" i="16"/>
  <c r="K159" i="16"/>
  <c r="K158" i="16"/>
  <c r="K157" i="16"/>
  <c r="K156" i="16"/>
  <c r="K155" i="16"/>
  <c r="K154" i="16"/>
  <c r="K153" i="16"/>
  <c r="K152" i="16"/>
  <c r="K151" i="16"/>
  <c r="K150" i="16"/>
  <c r="K149" i="16"/>
  <c r="K148" i="16"/>
  <c r="K147" i="16"/>
  <c r="K146" i="16"/>
  <c r="K145" i="16"/>
  <c r="K144" i="16"/>
  <c r="K143" i="16"/>
  <c r="K142" i="16"/>
  <c r="K141" i="16"/>
  <c r="K140" i="16"/>
  <c r="K139" i="16"/>
  <c r="K138" i="16"/>
  <c r="K137" i="16"/>
  <c r="K136" i="16"/>
  <c r="K135" i="16"/>
  <c r="K134" i="16"/>
  <c r="K133" i="16"/>
  <c r="K132" i="16"/>
  <c r="K131" i="16"/>
  <c r="K130" i="16"/>
  <c r="K129" i="16"/>
  <c r="K128" i="16"/>
  <c r="K127" i="16"/>
  <c r="K126" i="16"/>
  <c r="K125" i="16"/>
  <c r="K124" i="16"/>
  <c r="K123" i="16"/>
  <c r="K122" i="16"/>
  <c r="K121" i="16"/>
  <c r="K120" i="16"/>
  <c r="K119" i="16"/>
  <c r="K118" i="16"/>
  <c r="K117" i="16"/>
  <c r="K116" i="16"/>
  <c r="K115" i="16"/>
  <c r="K114" i="16"/>
  <c r="K113" i="16"/>
  <c r="K112" i="16"/>
  <c r="K111" i="16"/>
  <c r="K110" i="16"/>
  <c r="K109" i="16"/>
  <c r="K108" i="16"/>
  <c r="K107" i="16"/>
  <c r="K106" i="16"/>
  <c r="K105" i="16"/>
  <c r="K104" i="16"/>
  <c r="K103" i="16"/>
  <c r="K102" i="16"/>
  <c r="K101" i="16"/>
  <c r="K100" i="16"/>
  <c r="K99" i="16"/>
  <c r="K98" i="16"/>
  <c r="K97" i="16"/>
  <c r="K96" i="16"/>
  <c r="K95" i="16"/>
  <c r="K94" i="16"/>
  <c r="K93" i="16"/>
  <c r="K92" i="16"/>
  <c r="K91" i="16"/>
  <c r="K90" i="16"/>
  <c r="K89" i="16"/>
  <c r="K88" i="16"/>
  <c r="K87" i="16"/>
  <c r="K86" i="16"/>
  <c r="K85" i="16"/>
  <c r="K84" i="16"/>
  <c r="K83" i="16"/>
  <c r="K82" i="16"/>
  <c r="K81" i="16"/>
  <c r="K80" i="16"/>
  <c r="K79" i="16"/>
  <c r="K78" i="16"/>
  <c r="K77" i="16"/>
  <c r="K76" i="16"/>
  <c r="K75" i="16"/>
  <c r="K74" i="16"/>
  <c r="K73" i="16"/>
  <c r="K72" i="16"/>
  <c r="K71" i="16"/>
  <c r="K70" i="16"/>
  <c r="K69" i="16"/>
  <c r="K68" i="16"/>
  <c r="K67" i="16"/>
  <c r="K66" i="16"/>
  <c r="K65" i="16"/>
  <c r="K64" i="16"/>
  <c r="K63" i="16"/>
  <c r="K62" i="16"/>
  <c r="K61" i="16"/>
  <c r="K60" i="16"/>
  <c r="K59" i="16"/>
  <c r="K58" i="16"/>
  <c r="K57" i="16"/>
  <c r="K56" i="16"/>
  <c r="K55" i="16"/>
  <c r="K54" i="16"/>
  <c r="K53" i="16"/>
  <c r="K52" i="16"/>
  <c r="K51" i="16"/>
  <c r="K50" i="16"/>
  <c r="K49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" i="16"/>
  <c r="K5" i="16"/>
  <c r="K4" i="16"/>
  <c r="K3" i="16"/>
  <c r="R202" i="16" l="1"/>
  <c r="Q202" i="16"/>
  <c r="P202" i="16"/>
  <c r="O202" i="16"/>
  <c r="T202" i="16" s="1"/>
  <c r="R201" i="16"/>
  <c r="Q201" i="16"/>
  <c r="P201" i="16"/>
  <c r="O201" i="16"/>
  <c r="T201" i="16" s="1"/>
  <c r="R200" i="16"/>
  <c r="Q200" i="16"/>
  <c r="P200" i="16"/>
  <c r="O200" i="16"/>
  <c r="T200" i="16" s="1"/>
  <c r="R199" i="16"/>
  <c r="Q199" i="16"/>
  <c r="P199" i="16"/>
  <c r="O199" i="16"/>
  <c r="T199" i="16" s="1"/>
  <c r="R198" i="16"/>
  <c r="Q198" i="16"/>
  <c r="P198" i="16"/>
  <c r="O198" i="16"/>
  <c r="T198" i="16" s="1"/>
  <c r="R197" i="16"/>
  <c r="Q197" i="16"/>
  <c r="P197" i="16"/>
  <c r="O197" i="16"/>
  <c r="T197" i="16" s="1"/>
  <c r="R196" i="16"/>
  <c r="Q196" i="16"/>
  <c r="P196" i="16"/>
  <c r="O196" i="16"/>
  <c r="T196" i="16" s="1"/>
  <c r="R195" i="16"/>
  <c r="Q195" i="16"/>
  <c r="P195" i="16"/>
  <c r="O195" i="16"/>
  <c r="T195" i="16" s="1"/>
  <c r="R194" i="16"/>
  <c r="Q194" i="16"/>
  <c r="P194" i="16"/>
  <c r="O194" i="16"/>
  <c r="T194" i="16" s="1"/>
  <c r="R193" i="16"/>
  <c r="Q193" i="16"/>
  <c r="P193" i="16"/>
  <c r="O193" i="16"/>
  <c r="T193" i="16" s="1"/>
  <c r="R192" i="16"/>
  <c r="Q192" i="16"/>
  <c r="P192" i="16"/>
  <c r="O192" i="16"/>
  <c r="T192" i="16" s="1"/>
  <c r="R191" i="16"/>
  <c r="Q191" i="16"/>
  <c r="P191" i="16"/>
  <c r="O191" i="16"/>
  <c r="T191" i="16" s="1"/>
  <c r="R190" i="16"/>
  <c r="Q190" i="16"/>
  <c r="P190" i="16"/>
  <c r="O190" i="16"/>
  <c r="T190" i="16" s="1"/>
  <c r="R189" i="16"/>
  <c r="Q189" i="16"/>
  <c r="P189" i="16"/>
  <c r="O189" i="16"/>
  <c r="T189" i="16" s="1"/>
  <c r="R188" i="16"/>
  <c r="Q188" i="16"/>
  <c r="P188" i="16"/>
  <c r="O188" i="16"/>
  <c r="T188" i="16" s="1"/>
  <c r="R187" i="16"/>
  <c r="Q187" i="16"/>
  <c r="P187" i="16"/>
  <c r="O187" i="16"/>
  <c r="T187" i="16" s="1"/>
  <c r="R186" i="16"/>
  <c r="Q186" i="16"/>
  <c r="P186" i="16"/>
  <c r="O186" i="16"/>
  <c r="T186" i="16" s="1"/>
  <c r="R185" i="16"/>
  <c r="Q185" i="16"/>
  <c r="P185" i="16"/>
  <c r="O185" i="16"/>
  <c r="T185" i="16" s="1"/>
  <c r="R184" i="16"/>
  <c r="Q184" i="16"/>
  <c r="P184" i="16"/>
  <c r="O184" i="16"/>
  <c r="T184" i="16" s="1"/>
  <c r="R183" i="16"/>
  <c r="Q183" i="16"/>
  <c r="P183" i="16"/>
  <c r="O183" i="16"/>
  <c r="T183" i="16" s="1"/>
  <c r="R182" i="16"/>
  <c r="Q182" i="16"/>
  <c r="P182" i="16"/>
  <c r="O182" i="16"/>
  <c r="T182" i="16" s="1"/>
  <c r="R181" i="16"/>
  <c r="Q181" i="16"/>
  <c r="P181" i="16"/>
  <c r="O181" i="16"/>
  <c r="T181" i="16" s="1"/>
  <c r="R180" i="16"/>
  <c r="Q180" i="16"/>
  <c r="P180" i="16"/>
  <c r="O180" i="16"/>
  <c r="T180" i="16" s="1"/>
  <c r="R179" i="16"/>
  <c r="Q179" i="16"/>
  <c r="P179" i="16"/>
  <c r="O179" i="16"/>
  <c r="T179" i="16" s="1"/>
  <c r="R178" i="16"/>
  <c r="Q178" i="16"/>
  <c r="P178" i="16"/>
  <c r="O178" i="16"/>
  <c r="T178" i="16" s="1"/>
  <c r="R177" i="16"/>
  <c r="Q177" i="16"/>
  <c r="P177" i="16"/>
  <c r="O177" i="16"/>
  <c r="T177" i="16" s="1"/>
  <c r="R176" i="16"/>
  <c r="Q176" i="16"/>
  <c r="P176" i="16"/>
  <c r="O176" i="16"/>
  <c r="T176" i="16" s="1"/>
  <c r="R175" i="16"/>
  <c r="Q175" i="16"/>
  <c r="P175" i="16"/>
  <c r="O175" i="16"/>
  <c r="T175" i="16" s="1"/>
  <c r="R174" i="16"/>
  <c r="Q174" i="16"/>
  <c r="P174" i="16"/>
  <c r="O174" i="16"/>
  <c r="T174" i="16" s="1"/>
  <c r="R173" i="16"/>
  <c r="Q173" i="16"/>
  <c r="P173" i="16"/>
  <c r="O173" i="16"/>
  <c r="T173" i="16" s="1"/>
  <c r="R172" i="16"/>
  <c r="Q172" i="16"/>
  <c r="P172" i="16"/>
  <c r="O172" i="16"/>
  <c r="T172" i="16" s="1"/>
  <c r="R171" i="16"/>
  <c r="Q171" i="16"/>
  <c r="P171" i="16"/>
  <c r="O171" i="16"/>
  <c r="T171" i="16" s="1"/>
  <c r="R170" i="16"/>
  <c r="Q170" i="16"/>
  <c r="P170" i="16"/>
  <c r="O170" i="16"/>
  <c r="T170" i="16" s="1"/>
  <c r="R169" i="16"/>
  <c r="Q169" i="16"/>
  <c r="P169" i="16"/>
  <c r="O169" i="16"/>
  <c r="T169" i="16" s="1"/>
  <c r="R168" i="16"/>
  <c r="Q168" i="16"/>
  <c r="P168" i="16"/>
  <c r="O168" i="16"/>
  <c r="T168" i="16" s="1"/>
  <c r="R167" i="16"/>
  <c r="Q167" i="16"/>
  <c r="P167" i="16"/>
  <c r="O167" i="16"/>
  <c r="T167" i="16" s="1"/>
  <c r="R166" i="16"/>
  <c r="Q166" i="16"/>
  <c r="P166" i="16"/>
  <c r="O166" i="16"/>
  <c r="T166" i="16" s="1"/>
  <c r="R165" i="16"/>
  <c r="Q165" i="16"/>
  <c r="P165" i="16"/>
  <c r="O165" i="16"/>
  <c r="T165" i="16" s="1"/>
  <c r="R164" i="16"/>
  <c r="Q164" i="16"/>
  <c r="P164" i="16"/>
  <c r="O164" i="16"/>
  <c r="T164" i="16" s="1"/>
  <c r="R163" i="16"/>
  <c r="Q163" i="16"/>
  <c r="P163" i="16"/>
  <c r="O163" i="16"/>
  <c r="T163" i="16" s="1"/>
  <c r="R162" i="16"/>
  <c r="Q162" i="16"/>
  <c r="P162" i="16"/>
  <c r="O162" i="16"/>
  <c r="T162" i="16" s="1"/>
  <c r="R161" i="16"/>
  <c r="Q161" i="16"/>
  <c r="P161" i="16"/>
  <c r="O161" i="16"/>
  <c r="T161" i="16" s="1"/>
  <c r="R160" i="16"/>
  <c r="Q160" i="16"/>
  <c r="P160" i="16"/>
  <c r="O160" i="16"/>
  <c r="T160" i="16" s="1"/>
  <c r="R159" i="16"/>
  <c r="Q159" i="16"/>
  <c r="P159" i="16"/>
  <c r="O159" i="16"/>
  <c r="T159" i="16" s="1"/>
  <c r="R158" i="16"/>
  <c r="Q158" i="16"/>
  <c r="P158" i="16"/>
  <c r="O158" i="16"/>
  <c r="T158" i="16" s="1"/>
  <c r="R157" i="16"/>
  <c r="Q157" i="16"/>
  <c r="P157" i="16"/>
  <c r="O157" i="16"/>
  <c r="T157" i="16" s="1"/>
  <c r="R156" i="16"/>
  <c r="Q156" i="16"/>
  <c r="P156" i="16"/>
  <c r="O156" i="16"/>
  <c r="T156" i="16" s="1"/>
  <c r="R155" i="16"/>
  <c r="Q155" i="16"/>
  <c r="P155" i="16"/>
  <c r="O155" i="16"/>
  <c r="T155" i="16" s="1"/>
  <c r="R154" i="16"/>
  <c r="Q154" i="16"/>
  <c r="P154" i="16"/>
  <c r="O154" i="16"/>
  <c r="T154" i="16" s="1"/>
  <c r="R153" i="16"/>
  <c r="Q153" i="16"/>
  <c r="P153" i="16"/>
  <c r="O153" i="16"/>
  <c r="T153" i="16" s="1"/>
  <c r="R152" i="16"/>
  <c r="Q152" i="16"/>
  <c r="P152" i="16"/>
  <c r="O152" i="16"/>
  <c r="T152" i="16" s="1"/>
  <c r="R151" i="16"/>
  <c r="Q151" i="16"/>
  <c r="P151" i="16"/>
  <c r="O151" i="16"/>
  <c r="T151" i="16" s="1"/>
  <c r="R150" i="16"/>
  <c r="Q150" i="16"/>
  <c r="P150" i="16"/>
  <c r="O150" i="16"/>
  <c r="T150" i="16" s="1"/>
  <c r="R149" i="16"/>
  <c r="Q149" i="16"/>
  <c r="P149" i="16"/>
  <c r="O149" i="16"/>
  <c r="T149" i="16" s="1"/>
  <c r="R148" i="16"/>
  <c r="Q148" i="16"/>
  <c r="P148" i="16"/>
  <c r="O148" i="16"/>
  <c r="T148" i="16" s="1"/>
  <c r="R147" i="16"/>
  <c r="Q147" i="16"/>
  <c r="P147" i="16"/>
  <c r="O147" i="16"/>
  <c r="T147" i="16" s="1"/>
  <c r="R146" i="16"/>
  <c r="Q146" i="16"/>
  <c r="P146" i="16"/>
  <c r="O146" i="16"/>
  <c r="T146" i="16" s="1"/>
  <c r="R145" i="16"/>
  <c r="Q145" i="16"/>
  <c r="P145" i="16"/>
  <c r="O145" i="16"/>
  <c r="T145" i="16" s="1"/>
  <c r="R144" i="16"/>
  <c r="Q144" i="16"/>
  <c r="P144" i="16"/>
  <c r="O144" i="16"/>
  <c r="T144" i="16" s="1"/>
  <c r="R143" i="16"/>
  <c r="Q143" i="16"/>
  <c r="P143" i="16"/>
  <c r="O143" i="16"/>
  <c r="T143" i="16" s="1"/>
  <c r="R142" i="16"/>
  <c r="Q142" i="16"/>
  <c r="P142" i="16"/>
  <c r="O142" i="16"/>
  <c r="T142" i="16" s="1"/>
  <c r="R141" i="16"/>
  <c r="Q141" i="16"/>
  <c r="P141" i="16"/>
  <c r="O141" i="16"/>
  <c r="T141" i="16" s="1"/>
  <c r="R140" i="16"/>
  <c r="Q140" i="16"/>
  <c r="P140" i="16"/>
  <c r="O140" i="16"/>
  <c r="T140" i="16" s="1"/>
  <c r="R139" i="16"/>
  <c r="Q139" i="16"/>
  <c r="P139" i="16"/>
  <c r="O139" i="16"/>
  <c r="T139" i="16" s="1"/>
  <c r="R138" i="16"/>
  <c r="Q138" i="16"/>
  <c r="P138" i="16"/>
  <c r="O138" i="16"/>
  <c r="T138" i="16" s="1"/>
  <c r="R137" i="16"/>
  <c r="Q137" i="16"/>
  <c r="P137" i="16"/>
  <c r="O137" i="16"/>
  <c r="T137" i="16" s="1"/>
  <c r="R136" i="16"/>
  <c r="Q136" i="16"/>
  <c r="P136" i="16"/>
  <c r="O136" i="16"/>
  <c r="T136" i="16" s="1"/>
  <c r="R135" i="16"/>
  <c r="Q135" i="16"/>
  <c r="P135" i="16"/>
  <c r="O135" i="16"/>
  <c r="T135" i="16" s="1"/>
  <c r="R134" i="16"/>
  <c r="Q134" i="16"/>
  <c r="P134" i="16"/>
  <c r="O134" i="16"/>
  <c r="T134" i="16" s="1"/>
  <c r="R133" i="16"/>
  <c r="Q133" i="16"/>
  <c r="P133" i="16"/>
  <c r="O133" i="16"/>
  <c r="T133" i="16" s="1"/>
  <c r="R132" i="16"/>
  <c r="Q132" i="16"/>
  <c r="P132" i="16"/>
  <c r="O132" i="16"/>
  <c r="T132" i="16" s="1"/>
  <c r="R131" i="16"/>
  <c r="Q131" i="16"/>
  <c r="P131" i="16"/>
  <c r="O131" i="16"/>
  <c r="T131" i="16" s="1"/>
  <c r="R130" i="16"/>
  <c r="Q130" i="16"/>
  <c r="P130" i="16"/>
  <c r="O130" i="16"/>
  <c r="T130" i="16" s="1"/>
  <c r="R129" i="16"/>
  <c r="Q129" i="16"/>
  <c r="P129" i="16"/>
  <c r="O129" i="16"/>
  <c r="T129" i="16" s="1"/>
  <c r="R128" i="16"/>
  <c r="Q128" i="16"/>
  <c r="P128" i="16"/>
  <c r="O128" i="16"/>
  <c r="T128" i="16" s="1"/>
  <c r="R127" i="16"/>
  <c r="Q127" i="16"/>
  <c r="P127" i="16"/>
  <c r="O127" i="16"/>
  <c r="T127" i="16" s="1"/>
  <c r="R126" i="16"/>
  <c r="Q126" i="16"/>
  <c r="P126" i="16"/>
  <c r="O126" i="16"/>
  <c r="T126" i="16" s="1"/>
  <c r="R125" i="16"/>
  <c r="Q125" i="16"/>
  <c r="P125" i="16"/>
  <c r="O125" i="16"/>
  <c r="T125" i="16" s="1"/>
  <c r="R124" i="16"/>
  <c r="Q124" i="16"/>
  <c r="P124" i="16"/>
  <c r="O124" i="16"/>
  <c r="T124" i="16" s="1"/>
  <c r="R123" i="16"/>
  <c r="Q123" i="16"/>
  <c r="P123" i="16"/>
  <c r="O123" i="16"/>
  <c r="T123" i="16" s="1"/>
  <c r="R122" i="16"/>
  <c r="Q122" i="16"/>
  <c r="P122" i="16"/>
  <c r="O122" i="16"/>
  <c r="T122" i="16" s="1"/>
  <c r="R121" i="16"/>
  <c r="Q121" i="16"/>
  <c r="P121" i="16"/>
  <c r="O121" i="16"/>
  <c r="T121" i="16" s="1"/>
  <c r="R120" i="16"/>
  <c r="Q120" i="16"/>
  <c r="P120" i="16"/>
  <c r="O120" i="16"/>
  <c r="T120" i="16" s="1"/>
  <c r="R119" i="16"/>
  <c r="Q119" i="16"/>
  <c r="P119" i="16"/>
  <c r="O119" i="16"/>
  <c r="T119" i="16" s="1"/>
  <c r="R118" i="16"/>
  <c r="Q118" i="16"/>
  <c r="P118" i="16"/>
  <c r="O118" i="16"/>
  <c r="T118" i="16" s="1"/>
  <c r="R117" i="16"/>
  <c r="Q117" i="16"/>
  <c r="P117" i="16"/>
  <c r="O117" i="16"/>
  <c r="T117" i="16" s="1"/>
  <c r="R116" i="16"/>
  <c r="Q116" i="16"/>
  <c r="P116" i="16"/>
  <c r="O116" i="16"/>
  <c r="T116" i="16" s="1"/>
  <c r="R115" i="16"/>
  <c r="Q115" i="16"/>
  <c r="P115" i="16"/>
  <c r="O115" i="16"/>
  <c r="T115" i="16" s="1"/>
  <c r="R114" i="16"/>
  <c r="Q114" i="16"/>
  <c r="P114" i="16"/>
  <c r="O114" i="16"/>
  <c r="T114" i="16" s="1"/>
  <c r="R113" i="16"/>
  <c r="Q113" i="16"/>
  <c r="P113" i="16"/>
  <c r="O113" i="16"/>
  <c r="T113" i="16" s="1"/>
  <c r="R112" i="16"/>
  <c r="Q112" i="16"/>
  <c r="P112" i="16"/>
  <c r="O112" i="16"/>
  <c r="T112" i="16" s="1"/>
  <c r="R111" i="16"/>
  <c r="Q111" i="16"/>
  <c r="P111" i="16"/>
  <c r="O111" i="16"/>
  <c r="T111" i="16" s="1"/>
  <c r="R110" i="16"/>
  <c r="Q110" i="16"/>
  <c r="P110" i="16"/>
  <c r="O110" i="16"/>
  <c r="T110" i="16" s="1"/>
  <c r="R109" i="16"/>
  <c r="Q109" i="16"/>
  <c r="P109" i="16"/>
  <c r="O109" i="16"/>
  <c r="T109" i="16" s="1"/>
  <c r="R108" i="16"/>
  <c r="Q108" i="16"/>
  <c r="P108" i="16"/>
  <c r="O108" i="16"/>
  <c r="T108" i="16" s="1"/>
  <c r="R107" i="16"/>
  <c r="Q107" i="16"/>
  <c r="P107" i="16"/>
  <c r="O107" i="16"/>
  <c r="T107" i="16" s="1"/>
  <c r="R106" i="16"/>
  <c r="Q106" i="16"/>
  <c r="P106" i="16"/>
  <c r="O106" i="16"/>
  <c r="T106" i="16" s="1"/>
  <c r="R105" i="16"/>
  <c r="Q105" i="16"/>
  <c r="P105" i="16"/>
  <c r="O105" i="16"/>
  <c r="T105" i="16" s="1"/>
  <c r="R104" i="16"/>
  <c r="Q104" i="16"/>
  <c r="P104" i="16"/>
  <c r="O104" i="16"/>
  <c r="T104" i="16" s="1"/>
  <c r="R103" i="16"/>
  <c r="Q103" i="16"/>
  <c r="P103" i="16"/>
  <c r="O103" i="16"/>
  <c r="T103" i="16" s="1"/>
  <c r="R102" i="16"/>
  <c r="Q102" i="16"/>
  <c r="P102" i="16"/>
  <c r="O102" i="16"/>
  <c r="T102" i="16" s="1"/>
  <c r="R101" i="16"/>
  <c r="Q101" i="16"/>
  <c r="P101" i="16"/>
  <c r="O101" i="16"/>
  <c r="T101" i="16" s="1"/>
  <c r="R100" i="16"/>
  <c r="Q100" i="16"/>
  <c r="P100" i="16"/>
  <c r="O100" i="16"/>
  <c r="T100" i="16" s="1"/>
  <c r="R99" i="16"/>
  <c r="Q99" i="16"/>
  <c r="P99" i="16"/>
  <c r="O99" i="16"/>
  <c r="T99" i="16" s="1"/>
  <c r="R98" i="16"/>
  <c r="Q98" i="16"/>
  <c r="P98" i="16"/>
  <c r="O98" i="16"/>
  <c r="T98" i="16" s="1"/>
  <c r="R97" i="16"/>
  <c r="Q97" i="16"/>
  <c r="P97" i="16"/>
  <c r="O97" i="16"/>
  <c r="T97" i="16" s="1"/>
  <c r="R96" i="16"/>
  <c r="Q96" i="16"/>
  <c r="P96" i="16"/>
  <c r="O96" i="16"/>
  <c r="T96" i="16" s="1"/>
  <c r="R95" i="16"/>
  <c r="Q95" i="16"/>
  <c r="P95" i="16"/>
  <c r="O95" i="16"/>
  <c r="T95" i="16" s="1"/>
  <c r="R94" i="16"/>
  <c r="Q94" i="16"/>
  <c r="P94" i="16"/>
  <c r="O94" i="16"/>
  <c r="T94" i="16" s="1"/>
  <c r="R93" i="16"/>
  <c r="Q93" i="16"/>
  <c r="P93" i="16"/>
  <c r="O93" i="16"/>
  <c r="T93" i="16" s="1"/>
  <c r="R92" i="16"/>
  <c r="Q92" i="16"/>
  <c r="P92" i="16"/>
  <c r="O92" i="16"/>
  <c r="T92" i="16" s="1"/>
  <c r="R91" i="16"/>
  <c r="Q91" i="16"/>
  <c r="P91" i="16"/>
  <c r="O91" i="16"/>
  <c r="T91" i="16" s="1"/>
  <c r="R90" i="16"/>
  <c r="Q90" i="16"/>
  <c r="P90" i="16"/>
  <c r="O90" i="16"/>
  <c r="T90" i="16" s="1"/>
  <c r="R89" i="16"/>
  <c r="Q89" i="16"/>
  <c r="P89" i="16"/>
  <c r="O89" i="16"/>
  <c r="T89" i="16" s="1"/>
  <c r="R88" i="16"/>
  <c r="Q88" i="16"/>
  <c r="P88" i="16"/>
  <c r="O88" i="16"/>
  <c r="T88" i="16" s="1"/>
  <c r="R87" i="16"/>
  <c r="Q87" i="16"/>
  <c r="P87" i="16"/>
  <c r="O87" i="16"/>
  <c r="T87" i="16" s="1"/>
  <c r="R86" i="16"/>
  <c r="Q86" i="16"/>
  <c r="P86" i="16"/>
  <c r="O86" i="16"/>
  <c r="T86" i="16" s="1"/>
  <c r="R85" i="16"/>
  <c r="Q85" i="16"/>
  <c r="P85" i="16"/>
  <c r="O85" i="16"/>
  <c r="T85" i="16" s="1"/>
  <c r="R84" i="16"/>
  <c r="Q84" i="16"/>
  <c r="P84" i="16"/>
  <c r="O84" i="16"/>
  <c r="T84" i="16" s="1"/>
  <c r="R83" i="16"/>
  <c r="Q83" i="16"/>
  <c r="P83" i="16"/>
  <c r="O83" i="16"/>
  <c r="T83" i="16" s="1"/>
  <c r="R82" i="16"/>
  <c r="Q82" i="16"/>
  <c r="P82" i="16"/>
  <c r="O82" i="16"/>
  <c r="T82" i="16" s="1"/>
  <c r="R81" i="16"/>
  <c r="Q81" i="16"/>
  <c r="P81" i="16"/>
  <c r="O81" i="16"/>
  <c r="T81" i="16" s="1"/>
  <c r="R80" i="16"/>
  <c r="Q80" i="16"/>
  <c r="P80" i="16"/>
  <c r="O80" i="16"/>
  <c r="T80" i="16" s="1"/>
  <c r="R79" i="16"/>
  <c r="Q79" i="16"/>
  <c r="P79" i="16"/>
  <c r="O79" i="16"/>
  <c r="T79" i="16" s="1"/>
  <c r="R78" i="16"/>
  <c r="Q78" i="16"/>
  <c r="P78" i="16"/>
  <c r="O78" i="16"/>
  <c r="T78" i="16" s="1"/>
  <c r="R77" i="16"/>
  <c r="Q77" i="16"/>
  <c r="P77" i="16"/>
  <c r="O77" i="16"/>
  <c r="T77" i="16" s="1"/>
  <c r="R76" i="16"/>
  <c r="Q76" i="16"/>
  <c r="P76" i="16"/>
  <c r="O76" i="16"/>
  <c r="T76" i="16" s="1"/>
  <c r="R75" i="16"/>
  <c r="Q75" i="16"/>
  <c r="P75" i="16"/>
  <c r="O75" i="16"/>
  <c r="T75" i="16" s="1"/>
  <c r="R74" i="16"/>
  <c r="Q74" i="16"/>
  <c r="P74" i="16"/>
  <c r="O74" i="16"/>
  <c r="T74" i="16" s="1"/>
  <c r="R73" i="16"/>
  <c r="Q73" i="16"/>
  <c r="P73" i="16"/>
  <c r="O73" i="16"/>
  <c r="T73" i="16" s="1"/>
  <c r="R72" i="16"/>
  <c r="Q72" i="16"/>
  <c r="P72" i="16"/>
  <c r="O72" i="16"/>
  <c r="T72" i="16" s="1"/>
  <c r="R71" i="16"/>
  <c r="Q71" i="16"/>
  <c r="P71" i="16"/>
  <c r="O71" i="16"/>
  <c r="T71" i="16" s="1"/>
  <c r="R70" i="16"/>
  <c r="Q70" i="16"/>
  <c r="P70" i="16"/>
  <c r="O70" i="16"/>
  <c r="T70" i="16" s="1"/>
  <c r="R69" i="16"/>
  <c r="Q69" i="16"/>
  <c r="P69" i="16"/>
  <c r="O69" i="16"/>
  <c r="T69" i="16" s="1"/>
  <c r="R68" i="16"/>
  <c r="Q68" i="16"/>
  <c r="P68" i="16"/>
  <c r="O68" i="16"/>
  <c r="T68" i="16" s="1"/>
  <c r="R67" i="16"/>
  <c r="Q67" i="16"/>
  <c r="P67" i="16"/>
  <c r="O67" i="16"/>
  <c r="T67" i="16" s="1"/>
  <c r="R66" i="16"/>
  <c r="Q66" i="16"/>
  <c r="P66" i="16"/>
  <c r="O66" i="16"/>
  <c r="T66" i="16" s="1"/>
  <c r="R65" i="16"/>
  <c r="Q65" i="16"/>
  <c r="P65" i="16"/>
  <c r="O65" i="16"/>
  <c r="T65" i="16" s="1"/>
  <c r="R64" i="16"/>
  <c r="Q64" i="16"/>
  <c r="P64" i="16"/>
  <c r="O64" i="16"/>
  <c r="T64" i="16" s="1"/>
  <c r="R63" i="16"/>
  <c r="Q63" i="16"/>
  <c r="P63" i="16"/>
  <c r="O63" i="16"/>
  <c r="T63" i="16" s="1"/>
  <c r="R62" i="16"/>
  <c r="Q62" i="16"/>
  <c r="P62" i="16"/>
  <c r="O62" i="16"/>
  <c r="T62" i="16" s="1"/>
  <c r="R61" i="16"/>
  <c r="Q61" i="16"/>
  <c r="P61" i="16"/>
  <c r="O61" i="16"/>
  <c r="T61" i="16" s="1"/>
  <c r="R60" i="16"/>
  <c r="Q60" i="16"/>
  <c r="P60" i="16"/>
  <c r="O60" i="16"/>
  <c r="T60" i="16" s="1"/>
  <c r="R59" i="16"/>
  <c r="Q59" i="16"/>
  <c r="P59" i="16"/>
  <c r="O59" i="16"/>
  <c r="T59" i="16" s="1"/>
  <c r="R58" i="16"/>
  <c r="Q58" i="16"/>
  <c r="P58" i="16"/>
  <c r="O58" i="16"/>
  <c r="T58" i="16" s="1"/>
  <c r="R57" i="16"/>
  <c r="Q57" i="16"/>
  <c r="P57" i="16"/>
  <c r="O57" i="16"/>
  <c r="T57" i="16" s="1"/>
  <c r="R56" i="16"/>
  <c r="Q56" i="16"/>
  <c r="P56" i="16"/>
  <c r="O56" i="16"/>
  <c r="T56" i="16" s="1"/>
  <c r="R55" i="16"/>
  <c r="Q55" i="16"/>
  <c r="P55" i="16"/>
  <c r="O55" i="16"/>
  <c r="T55" i="16" s="1"/>
  <c r="R54" i="16"/>
  <c r="Q54" i="16"/>
  <c r="P54" i="16"/>
  <c r="O54" i="16"/>
  <c r="T54" i="16" s="1"/>
  <c r="R53" i="16"/>
  <c r="Q53" i="16"/>
  <c r="P53" i="16"/>
  <c r="O53" i="16"/>
  <c r="T53" i="16" s="1"/>
  <c r="R52" i="16"/>
  <c r="Q52" i="16"/>
  <c r="P52" i="16"/>
  <c r="O52" i="16"/>
  <c r="T52" i="16" s="1"/>
  <c r="R51" i="16"/>
  <c r="Q51" i="16"/>
  <c r="P51" i="16"/>
  <c r="O51" i="16"/>
  <c r="T51" i="16" s="1"/>
  <c r="R50" i="16"/>
  <c r="Q50" i="16"/>
  <c r="P50" i="16"/>
  <c r="O50" i="16"/>
  <c r="T50" i="16" s="1"/>
  <c r="R49" i="16"/>
  <c r="Q49" i="16"/>
  <c r="P49" i="16"/>
  <c r="O49" i="16"/>
  <c r="T49" i="16" s="1"/>
  <c r="R48" i="16"/>
  <c r="Q48" i="16"/>
  <c r="P48" i="16"/>
  <c r="O48" i="16"/>
  <c r="T48" i="16" s="1"/>
  <c r="R47" i="16"/>
  <c r="Q47" i="16"/>
  <c r="P47" i="16"/>
  <c r="O47" i="16"/>
  <c r="T47" i="16" s="1"/>
  <c r="R46" i="16"/>
  <c r="Q46" i="16"/>
  <c r="P46" i="16"/>
  <c r="O46" i="16"/>
  <c r="T46" i="16" s="1"/>
  <c r="R45" i="16"/>
  <c r="Q45" i="16"/>
  <c r="P45" i="16"/>
  <c r="O45" i="16"/>
  <c r="T45" i="16" s="1"/>
  <c r="R44" i="16"/>
  <c r="Q44" i="16"/>
  <c r="P44" i="16"/>
  <c r="O44" i="16"/>
  <c r="T44" i="16" s="1"/>
  <c r="R43" i="16"/>
  <c r="Q43" i="16"/>
  <c r="P43" i="16"/>
  <c r="O43" i="16"/>
  <c r="T43" i="16" s="1"/>
  <c r="R42" i="16"/>
  <c r="Q42" i="16"/>
  <c r="P42" i="16"/>
  <c r="O42" i="16"/>
  <c r="T42" i="16" s="1"/>
  <c r="R41" i="16"/>
  <c r="Q41" i="16"/>
  <c r="P41" i="16"/>
  <c r="O41" i="16"/>
  <c r="T41" i="16" s="1"/>
  <c r="R40" i="16"/>
  <c r="Q40" i="16"/>
  <c r="P40" i="16"/>
  <c r="O40" i="16"/>
  <c r="T40" i="16" s="1"/>
  <c r="R39" i="16"/>
  <c r="Q39" i="16"/>
  <c r="P39" i="16"/>
  <c r="O39" i="16"/>
  <c r="T39" i="16" s="1"/>
  <c r="R38" i="16"/>
  <c r="Q38" i="16"/>
  <c r="P38" i="16"/>
  <c r="O38" i="16"/>
  <c r="T38" i="16" s="1"/>
  <c r="R37" i="16"/>
  <c r="Q37" i="16"/>
  <c r="P37" i="16"/>
  <c r="O37" i="16"/>
  <c r="T37" i="16" s="1"/>
  <c r="R36" i="16"/>
  <c r="Q36" i="16"/>
  <c r="P36" i="16"/>
  <c r="O36" i="16"/>
  <c r="T36" i="16" s="1"/>
  <c r="R35" i="16"/>
  <c r="Q35" i="16"/>
  <c r="P35" i="16"/>
  <c r="O35" i="16"/>
  <c r="T35" i="16" s="1"/>
  <c r="R34" i="16"/>
  <c r="Q34" i="16"/>
  <c r="P34" i="16"/>
  <c r="O34" i="16"/>
  <c r="T34" i="16" s="1"/>
  <c r="R33" i="16"/>
  <c r="Q33" i="16"/>
  <c r="P33" i="16"/>
  <c r="O33" i="16"/>
  <c r="T33" i="16" s="1"/>
  <c r="R32" i="16"/>
  <c r="Q32" i="16"/>
  <c r="P32" i="16"/>
  <c r="O32" i="16"/>
  <c r="T32" i="16" s="1"/>
  <c r="R31" i="16"/>
  <c r="Q31" i="16"/>
  <c r="P31" i="16"/>
  <c r="O31" i="16"/>
  <c r="T31" i="16" s="1"/>
  <c r="R30" i="16"/>
  <c r="Q30" i="16"/>
  <c r="P30" i="16"/>
  <c r="O30" i="16"/>
  <c r="T30" i="16" s="1"/>
  <c r="R29" i="16"/>
  <c r="Q29" i="16"/>
  <c r="P29" i="16"/>
  <c r="O29" i="16"/>
  <c r="T29" i="16" s="1"/>
  <c r="R28" i="16"/>
  <c r="Q28" i="16"/>
  <c r="P28" i="16"/>
  <c r="O28" i="16"/>
  <c r="T28" i="16" s="1"/>
  <c r="R27" i="16"/>
  <c r="Q27" i="16"/>
  <c r="P27" i="16"/>
  <c r="O27" i="16"/>
  <c r="T27" i="16" s="1"/>
  <c r="R26" i="16"/>
  <c r="Q26" i="16"/>
  <c r="P26" i="16"/>
  <c r="O26" i="16"/>
  <c r="T26" i="16" s="1"/>
  <c r="R25" i="16"/>
  <c r="Q25" i="16"/>
  <c r="P25" i="16"/>
  <c r="O25" i="16"/>
  <c r="T25" i="16" s="1"/>
  <c r="R24" i="16"/>
  <c r="Q24" i="16"/>
  <c r="P24" i="16"/>
  <c r="O24" i="16"/>
  <c r="T24" i="16" s="1"/>
  <c r="R23" i="16"/>
  <c r="Q23" i="16"/>
  <c r="P23" i="16"/>
  <c r="O23" i="16"/>
  <c r="T23" i="16" s="1"/>
  <c r="R22" i="16"/>
  <c r="Q22" i="16"/>
  <c r="P22" i="16"/>
  <c r="O22" i="16"/>
  <c r="T22" i="16" s="1"/>
  <c r="R21" i="16"/>
  <c r="Q21" i="16"/>
  <c r="P21" i="16"/>
  <c r="O21" i="16"/>
  <c r="T21" i="16" s="1"/>
  <c r="R20" i="16"/>
  <c r="Q20" i="16"/>
  <c r="P20" i="16"/>
  <c r="O20" i="16"/>
  <c r="T20" i="16" s="1"/>
  <c r="R19" i="16"/>
  <c r="Q19" i="16"/>
  <c r="P19" i="16"/>
  <c r="O19" i="16"/>
  <c r="T19" i="16" s="1"/>
  <c r="R18" i="16"/>
  <c r="Q18" i="16"/>
  <c r="P18" i="16"/>
  <c r="O18" i="16"/>
  <c r="T18" i="16" s="1"/>
  <c r="R17" i="16"/>
  <c r="Q17" i="16"/>
  <c r="P17" i="16"/>
  <c r="O17" i="16"/>
  <c r="T17" i="16" s="1"/>
  <c r="R16" i="16"/>
  <c r="Q16" i="16"/>
  <c r="P16" i="16"/>
  <c r="O16" i="16"/>
  <c r="T16" i="16" s="1"/>
  <c r="R15" i="16"/>
  <c r="Q15" i="16"/>
  <c r="P15" i="16"/>
  <c r="O15" i="16"/>
  <c r="T15" i="16" s="1"/>
  <c r="R14" i="16"/>
  <c r="Q14" i="16"/>
  <c r="P14" i="16"/>
  <c r="O14" i="16"/>
  <c r="T14" i="16" s="1"/>
  <c r="R13" i="16"/>
  <c r="Q13" i="16"/>
  <c r="P13" i="16"/>
  <c r="O13" i="16"/>
  <c r="T13" i="16" s="1"/>
  <c r="R12" i="16"/>
  <c r="Q12" i="16"/>
  <c r="P12" i="16"/>
  <c r="O12" i="16"/>
  <c r="T12" i="16" s="1"/>
  <c r="R11" i="16"/>
  <c r="Q11" i="16"/>
  <c r="P11" i="16"/>
  <c r="O11" i="16"/>
  <c r="T11" i="16" s="1"/>
  <c r="R10" i="16"/>
  <c r="Q10" i="16"/>
  <c r="P10" i="16"/>
  <c r="O10" i="16"/>
  <c r="T10" i="16" s="1"/>
  <c r="R9" i="16"/>
  <c r="Q9" i="16"/>
  <c r="P9" i="16"/>
  <c r="O9" i="16"/>
  <c r="T9" i="16" s="1"/>
  <c r="R8" i="16"/>
  <c r="Q8" i="16"/>
  <c r="P8" i="16"/>
  <c r="O8" i="16"/>
  <c r="T8" i="16" s="1"/>
  <c r="R7" i="16"/>
  <c r="Q7" i="16"/>
  <c r="P7" i="16"/>
  <c r="O7" i="16"/>
  <c r="T7" i="16" s="1"/>
  <c r="R6" i="16"/>
  <c r="Q6" i="16"/>
  <c r="P6" i="16"/>
  <c r="O6" i="16"/>
  <c r="T6" i="16" s="1"/>
  <c r="R5" i="16"/>
  <c r="Q5" i="16"/>
  <c r="P5" i="16"/>
  <c r="O5" i="16"/>
  <c r="T5" i="16" s="1"/>
  <c r="R4" i="16"/>
  <c r="Q4" i="16"/>
  <c r="P4" i="16"/>
  <c r="O4" i="16"/>
  <c r="T4" i="16" s="1"/>
  <c r="R3" i="16"/>
  <c r="Q3" i="16"/>
  <c r="P3" i="16"/>
  <c r="O3" i="16"/>
  <c r="T3" i="16" s="1"/>
  <c r="Z19" i="16" l="1"/>
  <c r="Z18" i="16"/>
  <c r="Z16" i="16"/>
  <c r="Z14" i="16"/>
  <c r="Z12" i="16"/>
  <c r="Z10" i="16"/>
  <c r="Z8" i="16"/>
  <c r="Z6" i="16"/>
  <c r="Z4" i="16"/>
  <c r="Z7" i="16"/>
  <c r="Y3" i="16"/>
  <c r="Y15" i="16"/>
  <c r="Y9" i="16"/>
  <c r="Y5" i="16"/>
  <c r="Y18" i="16"/>
  <c r="Y16" i="16"/>
  <c r="Y14" i="16"/>
  <c r="Y12" i="16"/>
  <c r="Y10" i="16"/>
  <c r="Y8" i="16"/>
  <c r="Y6" i="16"/>
  <c r="Y4" i="16"/>
  <c r="Z17" i="16"/>
  <c r="Z15" i="16"/>
  <c r="Z13" i="16"/>
  <c r="Z11" i="16"/>
  <c r="Z9" i="16"/>
  <c r="Z5" i="16"/>
  <c r="Y17" i="16"/>
  <c r="Y13" i="16"/>
  <c r="Y11" i="16"/>
  <c r="Y7" i="16"/>
  <c r="S34" i="16"/>
  <c r="S36" i="16"/>
  <c r="S38" i="16"/>
  <c r="S40" i="16"/>
  <c r="S42" i="16"/>
  <c r="S44" i="16"/>
  <c r="S46" i="16"/>
  <c r="S48" i="16"/>
  <c r="S50" i="16"/>
  <c r="S52" i="16"/>
  <c r="S54" i="16"/>
  <c r="S56" i="16"/>
  <c r="S58" i="16"/>
  <c r="S60" i="16"/>
  <c r="S62" i="16"/>
  <c r="S64" i="16"/>
  <c r="S66" i="16"/>
  <c r="S68" i="16"/>
  <c r="S70" i="16"/>
  <c r="S72" i="16"/>
  <c r="S74" i="16"/>
  <c r="S76" i="16"/>
  <c r="S78" i="16"/>
  <c r="S80" i="16"/>
  <c r="S82" i="16"/>
  <c r="S84" i="16"/>
  <c r="S86" i="16"/>
  <c r="S88" i="16"/>
  <c r="S90" i="16"/>
  <c r="S92" i="16"/>
  <c r="S94" i="16"/>
  <c r="S96" i="16"/>
  <c r="S98" i="16"/>
  <c r="S100" i="16"/>
  <c r="S102" i="16"/>
  <c r="S104" i="16"/>
  <c r="S106" i="16"/>
  <c r="S108" i="16"/>
  <c r="S110" i="16"/>
  <c r="S112" i="16"/>
  <c r="S114" i="16"/>
  <c r="S116" i="16"/>
  <c r="S118" i="16"/>
  <c r="S120" i="16"/>
  <c r="S122" i="16"/>
  <c r="S124" i="16"/>
  <c r="S126" i="16"/>
  <c r="S128" i="16"/>
  <c r="S130" i="16"/>
  <c r="S132" i="16"/>
  <c r="S134" i="16"/>
  <c r="S136" i="16"/>
  <c r="S138" i="16"/>
  <c r="S140" i="16"/>
  <c r="S142" i="16"/>
  <c r="S144" i="16"/>
  <c r="S146" i="16"/>
  <c r="S148" i="16"/>
  <c r="S150" i="16"/>
  <c r="S152" i="16"/>
  <c r="S154" i="16"/>
  <c r="S156" i="16"/>
  <c r="S158" i="16"/>
  <c r="S160" i="16"/>
  <c r="S162" i="16"/>
  <c r="S164" i="16"/>
  <c r="S166" i="16"/>
  <c r="S168" i="16"/>
  <c r="S170" i="16"/>
  <c r="S172" i="16"/>
  <c r="S174" i="16"/>
  <c r="S176" i="16"/>
  <c r="S178" i="16"/>
  <c r="S180" i="16"/>
  <c r="S182" i="16"/>
  <c r="S184" i="16"/>
  <c r="S186" i="16"/>
  <c r="S188" i="16"/>
  <c r="S190" i="16"/>
  <c r="S192" i="16"/>
  <c r="S194" i="16"/>
  <c r="S196" i="16"/>
  <c r="S198" i="16"/>
  <c r="S200" i="16"/>
  <c r="S202" i="16"/>
  <c r="S35" i="16"/>
  <c r="S37" i="16"/>
  <c r="S39" i="16"/>
  <c r="S41" i="16"/>
  <c r="S43" i="16"/>
  <c r="S45" i="16"/>
  <c r="S47" i="16"/>
  <c r="S49" i="16"/>
  <c r="S51" i="16"/>
  <c r="S53" i="16"/>
  <c r="S55" i="16"/>
  <c r="S57" i="16"/>
  <c r="S59" i="16"/>
  <c r="S61" i="16"/>
  <c r="S63" i="16"/>
  <c r="S65" i="16"/>
  <c r="S67" i="16"/>
  <c r="S69" i="16"/>
  <c r="S71" i="16"/>
  <c r="S73" i="16"/>
  <c r="S75" i="16"/>
  <c r="S77" i="16"/>
  <c r="S79" i="16"/>
  <c r="S81" i="16"/>
  <c r="S83" i="16"/>
  <c r="S85" i="16"/>
  <c r="S87" i="16"/>
  <c r="S89" i="16"/>
  <c r="S91" i="16"/>
  <c r="S93" i="16"/>
  <c r="S95" i="16"/>
  <c r="S97" i="16"/>
  <c r="S99" i="16"/>
  <c r="S101" i="16"/>
  <c r="S103" i="16"/>
  <c r="S105" i="16"/>
  <c r="S107" i="16"/>
  <c r="S109" i="16"/>
  <c r="S111" i="16"/>
  <c r="S113" i="16"/>
  <c r="S115" i="16"/>
  <c r="S117" i="16"/>
  <c r="S119" i="16"/>
  <c r="S121" i="16"/>
  <c r="S123" i="16"/>
  <c r="S125" i="16"/>
  <c r="S127" i="16"/>
  <c r="S129" i="16"/>
  <c r="S131" i="16"/>
  <c r="S133" i="16"/>
  <c r="S135" i="16"/>
  <c r="S137" i="16"/>
  <c r="S139" i="16"/>
  <c r="S141" i="16"/>
  <c r="S143" i="16"/>
  <c r="S145" i="16"/>
  <c r="S147" i="16"/>
  <c r="S149" i="16"/>
  <c r="S151" i="16"/>
  <c r="S153" i="16"/>
  <c r="S155" i="16"/>
  <c r="S157" i="16"/>
  <c r="S159" i="16"/>
  <c r="S161" i="16"/>
  <c r="S163" i="16"/>
  <c r="S165" i="16"/>
  <c r="S167" i="16"/>
  <c r="S169" i="16"/>
  <c r="S171" i="16"/>
  <c r="S173" i="16"/>
  <c r="S175" i="16"/>
  <c r="S177" i="16"/>
  <c r="S179" i="16"/>
  <c r="S181" i="16"/>
  <c r="S183" i="16"/>
  <c r="S185" i="16"/>
  <c r="S187" i="16"/>
  <c r="S189" i="16"/>
  <c r="S191" i="16"/>
  <c r="S193" i="16"/>
  <c r="S195" i="16"/>
  <c r="S197" i="16"/>
  <c r="S199" i="16"/>
  <c r="S201" i="16"/>
  <c r="Z3" i="16" l="1"/>
  <c r="Z2" i="16" s="1"/>
  <c r="Y2" i="16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6" i="19"/>
  <c r="H53" i="20"/>
  <c r="H52" i="20"/>
  <c r="H51" i="20"/>
  <c r="H50" i="20"/>
  <c r="H49" i="20"/>
  <c r="H48" i="20"/>
  <c r="H47" i="20"/>
  <c r="H46" i="20"/>
  <c r="H45" i="20"/>
  <c r="H44" i="20"/>
  <c r="H43" i="20"/>
  <c r="H42" i="20"/>
  <c r="H41" i="20"/>
  <c r="H40" i="20"/>
  <c r="H39" i="20"/>
  <c r="H38" i="20"/>
  <c r="H37" i="20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Q53" i="21"/>
  <c r="K53" i="21"/>
  <c r="G53" i="21"/>
  <c r="P53" i="21" s="1"/>
  <c r="Q52" i="21"/>
  <c r="K52" i="21"/>
  <c r="G52" i="21"/>
  <c r="P52" i="21" s="1"/>
  <c r="Q51" i="21"/>
  <c r="P51" i="21"/>
  <c r="K51" i="21"/>
  <c r="G51" i="21"/>
  <c r="Q53" i="20"/>
  <c r="K53" i="20"/>
  <c r="G53" i="20"/>
  <c r="P53" i="20" s="1"/>
  <c r="Q52" i="20"/>
  <c r="K52" i="20"/>
  <c r="G52" i="20"/>
  <c r="P52" i="20" s="1"/>
  <c r="Q51" i="20"/>
  <c r="P51" i="20"/>
  <c r="K51" i="20"/>
  <c r="G51" i="20"/>
  <c r="Q53" i="19"/>
  <c r="K53" i="19"/>
  <c r="G53" i="19"/>
  <c r="P53" i="19" s="1"/>
  <c r="Q52" i="19"/>
  <c r="K52" i="19"/>
  <c r="G52" i="19"/>
  <c r="P52" i="19" s="1"/>
  <c r="Q51" i="19"/>
  <c r="P51" i="19"/>
  <c r="K51" i="19"/>
  <c r="G51" i="19"/>
  <c r="Q53" i="18"/>
  <c r="K53" i="18"/>
  <c r="G53" i="18"/>
  <c r="P53" i="18" s="1"/>
  <c r="Q52" i="18"/>
  <c r="K52" i="18"/>
  <c r="G52" i="18"/>
  <c r="P52" i="18" s="1"/>
  <c r="Q51" i="18"/>
  <c r="P51" i="18"/>
  <c r="K51" i="18"/>
  <c r="G51" i="18"/>
  <c r="Q53" i="17"/>
  <c r="P53" i="17"/>
  <c r="Q52" i="17"/>
  <c r="Q51" i="17"/>
  <c r="P51" i="17"/>
  <c r="K53" i="17"/>
  <c r="G53" i="17"/>
  <c r="K52" i="17"/>
  <c r="G52" i="17"/>
  <c r="P52" i="17" s="1"/>
  <c r="K51" i="17"/>
  <c r="G51" i="17"/>
  <c r="G50" i="18"/>
  <c r="P50" i="18" s="1"/>
  <c r="G49" i="18"/>
  <c r="G48" i="18"/>
  <c r="G47" i="18"/>
  <c r="G46" i="18"/>
  <c r="P46" i="18" s="1"/>
  <c r="G45" i="18"/>
  <c r="G44" i="18"/>
  <c r="G43" i="18"/>
  <c r="G42" i="18"/>
  <c r="P42" i="18" s="1"/>
  <c r="G41" i="18"/>
  <c r="G40" i="18"/>
  <c r="G39" i="18"/>
  <c r="G38" i="18"/>
  <c r="P38" i="18" s="1"/>
  <c r="G37" i="18"/>
  <c r="G36" i="18"/>
  <c r="G35" i="18"/>
  <c r="G34" i="18"/>
  <c r="P34" i="18" s="1"/>
  <c r="G33" i="18"/>
  <c r="G32" i="18"/>
  <c r="G31" i="18"/>
  <c r="G30" i="18"/>
  <c r="P30" i="18" s="1"/>
  <c r="G29" i="18"/>
  <c r="G28" i="18"/>
  <c r="G27" i="18"/>
  <c r="G26" i="18"/>
  <c r="G25" i="18"/>
  <c r="G24" i="18"/>
  <c r="G23" i="18"/>
  <c r="G22" i="18"/>
  <c r="P22" i="18" s="1"/>
  <c r="G21" i="18"/>
  <c r="G20" i="18"/>
  <c r="G19" i="18"/>
  <c r="G18" i="18"/>
  <c r="G17" i="18"/>
  <c r="G16" i="18"/>
  <c r="G15" i="18"/>
  <c r="G14" i="18"/>
  <c r="P14" i="18" s="1"/>
  <c r="G13" i="18"/>
  <c r="G12" i="18"/>
  <c r="G11" i="18"/>
  <c r="G10" i="18"/>
  <c r="G4" i="18"/>
  <c r="G9" i="18"/>
  <c r="G5" i="18"/>
  <c r="G8" i="18"/>
  <c r="P8" i="18" s="1"/>
  <c r="H8" i="18" s="1"/>
  <c r="G6" i="18"/>
  <c r="G7" i="18"/>
  <c r="G50" i="19"/>
  <c r="G49" i="19"/>
  <c r="P49" i="19" s="1"/>
  <c r="G48" i="19"/>
  <c r="G47" i="19"/>
  <c r="G46" i="19"/>
  <c r="G45" i="19"/>
  <c r="P45" i="19" s="1"/>
  <c r="G44" i="19"/>
  <c r="G43" i="19"/>
  <c r="G42" i="19"/>
  <c r="G41" i="19"/>
  <c r="P41" i="19" s="1"/>
  <c r="G40" i="19"/>
  <c r="G39" i="19"/>
  <c r="G38" i="19"/>
  <c r="G37" i="19"/>
  <c r="P37" i="19" s="1"/>
  <c r="G36" i="19"/>
  <c r="G35" i="19"/>
  <c r="G34" i="19"/>
  <c r="G33" i="19"/>
  <c r="P33" i="19" s="1"/>
  <c r="G32" i="19"/>
  <c r="G31" i="19"/>
  <c r="G30" i="19"/>
  <c r="G29" i="19"/>
  <c r="P29" i="19" s="1"/>
  <c r="G28" i="19"/>
  <c r="G27" i="19"/>
  <c r="G26" i="19"/>
  <c r="G25" i="19"/>
  <c r="G24" i="19"/>
  <c r="G23" i="19"/>
  <c r="G22" i="19"/>
  <c r="G21" i="19"/>
  <c r="P21" i="19" s="1"/>
  <c r="G20" i="19"/>
  <c r="G19" i="19"/>
  <c r="G18" i="19"/>
  <c r="G17" i="19"/>
  <c r="P17" i="19" s="1"/>
  <c r="G12" i="19"/>
  <c r="G6" i="19"/>
  <c r="G16" i="19"/>
  <c r="Q16" i="19" s="1"/>
  <c r="G15" i="19"/>
  <c r="Q15" i="19" s="1"/>
  <c r="G5" i="19"/>
  <c r="G13" i="19"/>
  <c r="G4" i="19"/>
  <c r="Q4" i="19" s="1"/>
  <c r="G14" i="19"/>
  <c r="P14" i="19" s="1"/>
  <c r="H14" i="19" s="1"/>
  <c r="G10" i="19"/>
  <c r="G7" i="19"/>
  <c r="G9" i="19"/>
  <c r="P9" i="19" s="1"/>
  <c r="H9" i="19" s="1"/>
  <c r="G8" i="19"/>
  <c r="P8" i="19" s="1"/>
  <c r="H8" i="19" s="1"/>
  <c r="G11" i="19"/>
  <c r="G50" i="20"/>
  <c r="G49" i="20"/>
  <c r="G48" i="20"/>
  <c r="P48" i="20" s="1"/>
  <c r="G47" i="20"/>
  <c r="G46" i="20"/>
  <c r="G45" i="20"/>
  <c r="G44" i="20"/>
  <c r="P44" i="20" s="1"/>
  <c r="G43" i="20"/>
  <c r="G42" i="20"/>
  <c r="G41" i="20"/>
  <c r="G40" i="20"/>
  <c r="P40" i="20" s="1"/>
  <c r="G39" i="20"/>
  <c r="G38" i="20"/>
  <c r="G37" i="20"/>
  <c r="G36" i="20"/>
  <c r="P36" i="20" s="1"/>
  <c r="G35" i="20"/>
  <c r="G34" i="20"/>
  <c r="G33" i="20"/>
  <c r="G32" i="20"/>
  <c r="P32" i="20" s="1"/>
  <c r="G31" i="20"/>
  <c r="G30" i="20"/>
  <c r="G29" i="20"/>
  <c r="G28" i="20"/>
  <c r="P28" i="20" s="1"/>
  <c r="G27" i="20"/>
  <c r="G26" i="20"/>
  <c r="G25" i="20"/>
  <c r="G24" i="20"/>
  <c r="P24" i="20" s="1"/>
  <c r="G23" i="20"/>
  <c r="G22" i="20"/>
  <c r="G21" i="20"/>
  <c r="G20" i="20"/>
  <c r="P20" i="20" s="1"/>
  <c r="G19" i="20"/>
  <c r="G18" i="20"/>
  <c r="G17" i="20"/>
  <c r="G16" i="20"/>
  <c r="P16" i="20" s="1"/>
  <c r="G15" i="20"/>
  <c r="G14" i="20"/>
  <c r="G13" i="20"/>
  <c r="G12" i="20"/>
  <c r="P12" i="20" s="1"/>
  <c r="G11" i="20"/>
  <c r="G6" i="20"/>
  <c r="G4" i="20"/>
  <c r="Q4" i="20" s="1"/>
  <c r="G5" i="20"/>
  <c r="P5" i="20" s="1"/>
  <c r="H5" i="20" s="1"/>
  <c r="G10" i="20"/>
  <c r="G9" i="20"/>
  <c r="G8" i="20"/>
  <c r="Q8" i="20" s="1"/>
  <c r="G7" i="20"/>
  <c r="P7" i="20" s="1"/>
  <c r="H7" i="20" s="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P31" i="21" s="1"/>
  <c r="G30" i="21"/>
  <c r="G29" i="21"/>
  <c r="G28" i="21"/>
  <c r="G27" i="21"/>
  <c r="P27" i="21" s="1"/>
  <c r="G26" i="21"/>
  <c r="G25" i="21"/>
  <c r="G24" i="21"/>
  <c r="G23" i="21"/>
  <c r="P23" i="21" s="1"/>
  <c r="G22" i="21"/>
  <c r="G21" i="21"/>
  <c r="G20" i="21"/>
  <c r="G19" i="21"/>
  <c r="P19" i="21" s="1"/>
  <c r="G18" i="21"/>
  <c r="G17" i="21"/>
  <c r="G16" i="21"/>
  <c r="G15" i="21"/>
  <c r="P15" i="21" s="1"/>
  <c r="G14" i="21"/>
  <c r="G13" i="21"/>
  <c r="G12" i="21"/>
  <c r="G11" i="21"/>
  <c r="P11" i="21" s="1"/>
  <c r="G10" i="21"/>
  <c r="G9" i="21"/>
  <c r="G4" i="21"/>
  <c r="G6" i="21"/>
  <c r="P6" i="21" s="1"/>
  <c r="H6" i="21" s="1"/>
  <c r="G7" i="21"/>
  <c r="G8" i="21"/>
  <c r="G5" i="21"/>
  <c r="P5" i="21" s="1"/>
  <c r="H5" i="21" s="1"/>
  <c r="G50" i="17"/>
  <c r="P50" i="17" s="1"/>
  <c r="G49" i="17"/>
  <c r="G48" i="17"/>
  <c r="G47" i="17"/>
  <c r="G46" i="17"/>
  <c r="P46" i="17" s="1"/>
  <c r="G45" i="17"/>
  <c r="G44" i="17"/>
  <c r="G43" i="17"/>
  <c r="G42" i="17"/>
  <c r="P42" i="17" s="1"/>
  <c r="G41" i="17"/>
  <c r="G40" i="17"/>
  <c r="G39" i="17"/>
  <c r="G38" i="17"/>
  <c r="P38" i="17" s="1"/>
  <c r="G37" i="17"/>
  <c r="G36" i="17"/>
  <c r="G35" i="17"/>
  <c r="G34" i="17"/>
  <c r="P34" i="17" s="1"/>
  <c r="G33" i="17"/>
  <c r="G32" i="17"/>
  <c r="G31" i="17"/>
  <c r="G30" i="17"/>
  <c r="P30" i="17" s="1"/>
  <c r="G29" i="17"/>
  <c r="G28" i="17"/>
  <c r="G27" i="17"/>
  <c r="G26" i="17"/>
  <c r="P26" i="17" s="1"/>
  <c r="G25" i="17"/>
  <c r="G24" i="17"/>
  <c r="G23" i="17"/>
  <c r="G22" i="17"/>
  <c r="P22" i="17" s="1"/>
  <c r="G21" i="17"/>
  <c r="G20" i="17"/>
  <c r="G19" i="17"/>
  <c r="G18" i="17"/>
  <c r="G17" i="17"/>
  <c r="G16" i="17"/>
  <c r="G15" i="17"/>
  <c r="G14" i="17"/>
  <c r="P14" i="17" s="1"/>
  <c r="G13" i="17"/>
  <c r="G10" i="17"/>
  <c r="G9" i="17"/>
  <c r="P9" i="17" s="1"/>
  <c r="H9" i="17" s="1"/>
  <c r="G8" i="17"/>
  <c r="P8" i="17" s="1"/>
  <c r="H8" i="17" s="1"/>
  <c r="G4" i="17"/>
  <c r="P4" i="17" s="1"/>
  <c r="H4" i="17" s="1"/>
  <c r="G7" i="17"/>
  <c r="Q7" i="17" s="1"/>
  <c r="G5" i="17"/>
  <c r="Q5" i="17" s="1"/>
  <c r="G6" i="17"/>
  <c r="P6" i="17" s="1"/>
  <c r="H6" i="17" s="1"/>
  <c r="G11" i="17"/>
  <c r="P11" i="17" s="1"/>
  <c r="H11" i="17" s="1"/>
  <c r="G12" i="17"/>
  <c r="Q12" i="17" s="1"/>
  <c r="G53" i="1"/>
  <c r="G52" i="1"/>
  <c r="G51" i="1"/>
  <c r="P51" i="1" s="1"/>
  <c r="G50" i="1"/>
  <c r="G49" i="1"/>
  <c r="G48" i="1"/>
  <c r="P48" i="1" s="1"/>
  <c r="G47" i="1"/>
  <c r="G46" i="1"/>
  <c r="G45" i="1"/>
  <c r="G44" i="1"/>
  <c r="P44" i="1" s="1"/>
  <c r="G43" i="1"/>
  <c r="G42" i="1"/>
  <c r="G41" i="1"/>
  <c r="G40" i="1"/>
  <c r="P40" i="1" s="1"/>
  <c r="G39" i="1"/>
  <c r="G38" i="1"/>
  <c r="G37" i="1"/>
  <c r="G36" i="1"/>
  <c r="P36" i="1" s="1"/>
  <c r="G35" i="1"/>
  <c r="G34" i="1"/>
  <c r="G33" i="1"/>
  <c r="G32" i="1"/>
  <c r="P32" i="1" s="1"/>
  <c r="G31" i="1"/>
  <c r="G30" i="1"/>
  <c r="G29" i="1"/>
  <c r="G28" i="1"/>
  <c r="P28" i="1" s="1"/>
  <c r="G27" i="1"/>
  <c r="G26" i="1"/>
  <c r="G25" i="1"/>
  <c r="G24" i="1"/>
  <c r="P24" i="1" s="1"/>
  <c r="G23" i="1"/>
  <c r="G22" i="1"/>
  <c r="G21" i="1"/>
  <c r="G20" i="1"/>
  <c r="P20" i="1" s="1"/>
  <c r="G19" i="1"/>
  <c r="G18" i="1"/>
  <c r="G17" i="1"/>
  <c r="G16" i="1"/>
  <c r="P16" i="1" s="1"/>
  <c r="G15" i="1"/>
  <c r="G14" i="1"/>
  <c r="G13" i="1"/>
  <c r="G8" i="1"/>
  <c r="P8" i="1" s="1"/>
  <c r="H8" i="1" s="1"/>
  <c r="G5" i="1"/>
  <c r="G11" i="1"/>
  <c r="P11" i="1" s="1"/>
  <c r="H11" i="1" s="1"/>
  <c r="G10" i="1"/>
  <c r="P10" i="1" s="1"/>
  <c r="H10" i="1" s="1"/>
  <c r="G12" i="1"/>
  <c r="P12" i="1" s="1"/>
  <c r="H12" i="1" s="1"/>
  <c r="G9" i="1"/>
  <c r="Q9" i="1" s="1"/>
  <c r="G7" i="1"/>
  <c r="Q7" i="1" s="1"/>
  <c r="G6" i="1"/>
  <c r="Q6" i="1" s="1"/>
  <c r="G4" i="1"/>
  <c r="P4" i="1" s="1"/>
  <c r="H4" i="1" s="1"/>
  <c r="Q53" i="1"/>
  <c r="P53" i="1"/>
  <c r="Q52" i="1"/>
  <c r="P52" i="1"/>
  <c r="Q51" i="1"/>
  <c r="K53" i="1"/>
  <c r="K52" i="1"/>
  <c r="K51" i="1"/>
  <c r="L202" i="16"/>
  <c r="L201" i="16"/>
  <c r="L200" i="16"/>
  <c r="L199" i="16"/>
  <c r="L198" i="16"/>
  <c r="L197" i="16"/>
  <c r="L196" i="16"/>
  <c r="L195" i="16"/>
  <c r="L194" i="16"/>
  <c r="L193" i="16"/>
  <c r="L192" i="16"/>
  <c r="L191" i="16"/>
  <c r="L190" i="16"/>
  <c r="L189" i="16"/>
  <c r="L188" i="16"/>
  <c r="L187" i="16"/>
  <c r="L186" i="16"/>
  <c r="L185" i="16"/>
  <c r="L184" i="16"/>
  <c r="L183" i="16"/>
  <c r="L182" i="16"/>
  <c r="L181" i="16"/>
  <c r="L180" i="16"/>
  <c r="L179" i="16"/>
  <c r="L178" i="16"/>
  <c r="L177" i="16"/>
  <c r="L176" i="16"/>
  <c r="L175" i="16"/>
  <c r="L174" i="16"/>
  <c r="L173" i="16"/>
  <c r="L172" i="16"/>
  <c r="L171" i="16"/>
  <c r="L170" i="16"/>
  <c r="L169" i="16"/>
  <c r="L168" i="16"/>
  <c r="L167" i="16"/>
  <c r="L166" i="16"/>
  <c r="L165" i="16"/>
  <c r="L164" i="16"/>
  <c r="L163" i="16"/>
  <c r="L162" i="16"/>
  <c r="L161" i="16"/>
  <c r="L160" i="16"/>
  <c r="L159" i="16"/>
  <c r="L158" i="16"/>
  <c r="L157" i="16"/>
  <c r="L156" i="16"/>
  <c r="L155" i="16"/>
  <c r="L154" i="16"/>
  <c r="L153" i="16"/>
  <c r="L152" i="16"/>
  <c r="L151" i="16"/>
  <c r="L150" i="16"/>
  <c r="L149" i="16"/>
  <c r="L148" i="16"/>
  <c r="L147" i="16"/>
  <c r="L146" i="16"/>
  <c r="L145" i="16"/>
  <c r="L144" i="16"/>
  <c r="L143" i="16"/>
  <c r="L142" i="16"/>
  <c r="L141" i="16"/>
  <c r="L140" i="16"/>
  <c r="L139" i="16"/>
  <c r="L138" i="16"/>
  <c r="L137" i="16"/>
  <c r="L136" i="16"/>
  <c r="L135" i="16"/>
  <c r="L134" i="16"/>
  <c r="L133" i="16"/>
  <c r="L132" i="16"/>
  <c r="L131" i="16"/>
  <c r="L130" i="16"/>
  <c r="L129" i="16"/>
  <c r="L128" i="16"/>
  <c r="L127" i="16"/>
  <c r="L126" i="16"/>
  <c r="L125" i="16"/>
  <c r="L124" i="16"/>
  <c r="L123" i="16"/>
  <c r="L122" i="16"/>
  <c r="L121" i="16"/>
  <c r="L120" i="16"/>
  <c r="L119" i="16"/>
  <c r="L118" i="16"/>
  <c r="L117" i="16"/>
  <c r="L116" i="16"/>
  <c r="L115" i="16"/>
  <c r="L114" i="16"/>
  <c r="L113" i="16"/>
  <c r="L112" i="16"/>
  <c r="L111" i="16"/>
  <c r="L110" i="16"/>
  <c r="L109" i="16"/>
  <c r="L108" i="16"/>
  <c r="L107" i="16"/>
  <c r="L106" i="16"/>
  <c r="L105" i="16"/>
  <c r="L104" i="16"/>
  <c r="L103" i="16"/>
  <c r="L102" i="16"/>
  <c r="L101" i="16"/>
  <c r="L100" i="16"/>
  <c r="L99" i="16"/>
  <c r="L98" i="16"/>
  <c r="L97" i="16"/>
  <c r="L96" i="16"/>
  <c r="L95" i="16"/>
  <c r="L94" i="16"/>
  <c r="L93" i="16"/>
  <c r="L92" i="16"/>
  <c r="L91" i="16"/>
  <c r="L90" i="16"/>
  <c r="L89" i="16"/>
  <c r="L88" i="16"/>
  <c r="L87" i="16"/>
  <c r="L86" i="16"/>
  <c r="L85" i="16"/>
  <c r="L84" i="16"/>
  <c r="L83" i="16"/>
  <c r="L82" i="16"/>
  <c r="L81" i="16"/>
  <c r="L80" i="16"/>
  <c r="L79" i="16"/>
  <c r="L78" i="16"/>
  <c r="L77" i="16"/>
  <c r="L76" i="16"/>
  <c r="L75" i="16"/>
  <c r="L74" i="16"/>
  <c r="L73" i="16"/>
  <c r="L72" i="16"/>
  <c r="L71" i="16"/>
  <c r="L70" i="16"/>
  <c r="L69" i="16"/>
  <c r="L68" i="16"/>
  <c r="L67" i="16"/>
  <c r="L66" i="16"/>
  <c r="L65" i="16"/>
  <c r="L64" i="16"/>
  <c r="L63" i="16"/>
  <c r="L62" i="16"/>
  <c r="L61" i="16"/>
  <c r="L60" i="16"/>
  <c r="L59" i="16"/>
  <c r="L58" i="16"/>
  <c r="L57" i="16"/>
  <c r="L56" i="16"/>
  <c r="L55" i="16"/>
  <c r="L54" i="16"/>
  <c r="L53" i="16"/>
  <c r="L52" i="16"/>
  <c r="L51" i="16"/>
  <c r="L50" i="16"/>
  <c r="L49" i="16"/>
  <c r="L48" i="16"/>
  <c r="L47" i="16"/>
  <c r="L46" i="16"/>
  <c r="L45" i="16"/>
  <c r="L44" i="16"/>
  <c r="L43" i="16"/>
  <c r="L42" i="16"/>
  <c r="L41" i="16"/>
  <c r="L40" i="16"/>
  <c r="L39" i="16"/>
  <c r="L38" i="16"/>
  <c r="L37" i="16"/>
  <c r="L36" i="16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L11" i="16"/>
  <c r="L10" i="16"/>
  <c r="L9" i="16"/>
  <c r="L8" i="16"/>
  <c r="L7" i="16"/>
  <c r="L6" i="16"/>
  <c r="L5" i="16"/>
  <c r="L4" i="16"/>
  <c r="L3" i="16"/>
  <c r="N1" i="18"/>
  <c r="A2" i="18" s="1"/>
  <c r="N1" i="19"/>
  <c r="A2" i="19" s="1"/>
  <c r="N1" i="20"/>
  <c r="A2" i="20" s="1"/>
  <c r="N1" i="21"/>
  <c r="A2" i="21"/>
  <c r="N1" i="17"/>
  <c r="A2" i="17" s="1"/>
  <c r="N1" i="1"/>
  <c r="A2" i="1" s="1"/>
  <c r="H22" i="18"/>
  <c r="Q23" i="19"/>
  <c r="Q20" i="19"/>
  <c r="P28" i="19"/>
  <c r="P27" i="19"/>
  <c r="P25" i="19"/>
  <c r="H25" i="19"/>
  <c r="Q6" i="19"/>
  <c r="P4" i="20"/>
  <c r="H4" i="20" s="1"/>
  <c r="P18" i="20"/>
  <c r="H18" i="20"/>
  <c r="P23" i="20"/>
  <c r="H23" i="20"/>
  <c r="P11" i="20"/>
  <c r="H11" i="20"/>
  <c r="P6" i="20"/>
  <c r="H6" i="20"/>
  <c r="Q9" i="20"/>
  <c r="P22" i="20"/>
  <c r="H22" i="20"/>
  <c r="P13" i="21"/>
  <c r="H13" i="21"/>
  <c r="P22" i="21"/>
  <c r="H22" i="21"/>
  <c r="P17" i="21"/>
  <c r="H17" i="21"/>
  <c r="P4" i="21"/>
  <c r="H4" i="21"/>
  <c r="Q14" i="17"/>
  <c r="P7" i="17"/>
  <c r="H7" i="17" s="1"/>
  <c r="P16" i="17"/>
  <c r="P5" i="17"/>
  <c r="H5" i="17" s="1"/>
  <c r="H14" i="18"/>
  <c r="P13" i="17"/>
  <c r="P18" i="17"/>
  <c r="K50" i="18"/>
  <c r="K49" i="18"/>
  <c r="K48" i="18"/>
  <c r="K47" i="18"/>
  <c r="K46" i="18"/>
  <c r="K45" i="18"/>
  <c r="K44" i="18"/>
  <c r="K43" i="18"/>
  <c r="K42" i="18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26" i="18"/>
  <c r="K25" i="18"/>
  <c r="K24" i="18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50" i="20"/>
  <c r="K49" i="20"/>
  <c r="K48" i="20"/>
  <c r="K47" i="20"/>
  <c r="K46" i="20"/>
  <c r="K45" i="20"/>
  <c r="K44" i="20"/>
  <c r="K43" i="20"/>
  <c r="K42" i="20"/>
  <c r="K41" i="20"/>
  <c r="K40" i="20"/>
  <c r="K39" i="20"/>
  <c r="K38" i="20"/>
  <c r="K37" i="20"/>
  <c r="K50" i="21"/>
  <c r="K49" i="21"/>
  <c r="K48" i="21"/>
  <c r="K47" i="21"/>
  <c r="K46" i="21"/>
  <c r="K45" i="21"/>
  <c r="K44" i="21"/>
  <c r="K43" i="21"/>
  <c r="K42" i="21"/>
  <c r="K41" i="21"/>
  <c r="K40" i="21"/>
  <c r="K39" i="21"/>
  <c r="K38" i="21"/>
  <c r="K37" i="21"/>
  <c r="K36" i="21"/>
  <c r="K35" i="21"/>
  <c r="K34" i="21"/>
  <c r="K33" i="21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Q50" i="17"/>
  <c r="Q49" i="17"/>
  <c r="Q48" i="17"/>
  <c r="Q47" i="17"/>
  <c r="Q46" i="17"/>
  <c r="Q45" i="17"/>
  <c r="Q44" i="17"/>
  <c r="Q43" i="17"/>
  <c r="Q42" i="17"/>
  <c r="Q41" i="17"/>
  <c r="Q40" i="17"/>
  <c r="Q39" i="17"/>
  <c r="Q38" i="17"/>
  <c r="Q37" i="17"/>
  <c r="Q36" i="17"/>
  <c r="Q35" i="17"/>
  <c r="Q34" i="17"/>
  <c r="Q33" i="17"/>
  <c r="Q32" i="17"/>
  <c r="Q31" i="17"/>
  <c r="Q30" i="17"/>
  <c r="Q29" i="17"/>
  <c r="Q28" i="17"/>
  <c r="Q27" i="17"/>
  <c r="Q26" i="17"/>
  <c r="Q25" i="17"/>
  <c r="Q24" i="17"/>
  <c r="Q23" i="17"/>
  <c r="Q22" i="17"/>
  <c r="Q21" i="17"/>
  <c r="Q20" i="17"/>
  <c r="Q13" i="17"/>
  <c r="Q15" i="17"/>
  <c r="Q10" i="17"/>
  <c r="Q16" i="17"/>
  <c r="Q17" i="17"/>
  <c r="Q19" i="17"/>
  <c r="Q18" i="17"/>
  <c r="Q4" i="17"/>
  <c r="Q50" i="18"/>
  <c r="Q49" i="18"/>
  <c r="Q48" i="18"/>
  <c r="Q47" i="18"/>
  <c r="Q46" i="18"/>
  <c r="Q45" i="18"/>
  <c r="Q44" i="18"/>
  <c r="Q43" i="18"/>
  <c r="Q42" i="18"/>
  <c r="Q41" i="18"/>
  <c r="Q40" i="18"/>
  <c r="Q39" i="18"/>
  <c r="Q38" i="18"/>
  <c r="Q37" i="18"/>
  <c r="Q36" i="18"/>
  <c r="Q35" i="18"/>
  <c r="Q34" i="18"/>
  <c r="Q33" i="18"/>
  <c r="Q32" i="18"/>
  <c r="Q31" i="18"/>
  <c r="Q30" i="18"/>
  <c r="Q20" i="18"/>
  <c r="Q29" i="18"/>
  <c r="Q12" i="18"/>
  <c r="Q4" i="18"/>
  <c r="Q15" i="18"/>
  <c r="Q28" i="18"/>
  <c r="Q27" i="18"/>
  <c r="Q8" i="18"/>
  <c r="Q17" i="18"/>
  <c r="Q26" i="18"/>
  <c r="Q21" i="18"/>
  <c r="Q25" i="18"/>
  <c r="Q5" i="18"/>
  <c r="Q13" i="18"/>
  <c r="Q24" i="18"/>
  <c r="Q19" i="18"/>
  <c r="Q16" i="18"/>
  <c r="Q18" i="18"/>
  <c r="Q7" i="18"/>
  <c r="Q9" i="18"/>
  <c r="Q10" i="18"/>
  <c r="Q11" i="18"/>
  <c r="Q23" i="18"/>
  <c r="Q6" i="18"/>
  <c r="K6" i="18" s="1"/>
  <c r="Q22" i="18"/>
  <c r="Q50" i="19"/>
  <c r="Q49" i="19"/>
  <c r="Q48" i="19"/>
  <c r="Q47" i="19"/>
  <c r="Q46" i="19"/>
  <c r="Q45" i="19"/>
  <c r="Q44" i="19"/>
  <c r="Q43" i="19"/>
  <c r="Q42" i="19"/>
  <c r="Q41" i="19"/>
  <c r="Q40" i="19"/>
  <c r="Q39" i="19"/>
  <c r="Q38" i="19"/>
  <c r="Q37" i="19"/>
  <c r="Q36" i="19"/>
  <c r="Q35" i="19"/>
  <c r="Q34" i="19"/>
  <c r="Q33" i="19"/>
  <c r="Q32" i="19"/>
  <c r="Q31" i="19"/>
  <c r="Q30" i="19"/>
  <c r="Q29" i="19"/>
  <c r="Q5" i="19"/>
  <c r="Q11" i="19"/>
  <c r="Q13" i="19"/>
  <c r="Q7" i="19"/>
  <c r="Q10" i="19"/>
  <c r="Q18" i="19"/>
  <c r="Q21" i="19"/>
  <c r="Q24" i="19"/>
  <c r="Q19" i="19"/>
  <c r="Q17" i="19"/>
  <c r="Q28" i="19"/>
  <c r="Q12" i="19"/>
  <c r="Q27" i="19"/>
  <c r="Q26" i="19"/>
  <c r="K26" i="19"/>
  <c r="Q22" i="19"/>
  <c r="Q25" i="19"/>
  <c r="Q50" i="20"/>
  <c r="Q49" i="20"/>
  <c r="Q48" i="20"/>
  <c r="Q47" i="20"/>
  <c r="Q46" i="20"/>
  <c r="Q45" i="20"/>
  <c r="Q44" i="20"/>
  <c r="Q43" i="20"/>
  <c r="Q42" i="20"/>
  <c r="Q41" i="20"/>
  <c r="Q40" i="20"/>
  <c r="Q39" i="20"/>
  <c r="Q38" i="20"/>
  <c r="Q37" i="20"/>
  <c r="Q36" i="20"/>
  <c r="Q35" i="20"/>
  <c r="Q34" i="20"/>
  <c r="Q33" i="20"/>
  <c r="Q32" i="20"/>
  <c r="Q31" i="20"/>
  <c r="Q30" i="20"/>
  <c r="Q29" i="20"/>
  <c r="Q28" i="20"/>
  <c r="Q27" i="20"/>
  <c r="Q26" i="20"/>
  <c r="Q25" i="20"/>
  <c r="Q24" i="20"/>
  <c r="Q18" i="20"/>
  <c r="Q13" i="20"/>
  <c r="Q23" i="20"/>
  <c r="Q21" i="20"/>
  <c r="Q11" i="20"/>
  <c r="Q12" i="20"/>
  <c r="Q6" i="20"/>
  <c r="Q19" i="20"/>
  <c r="Q17" i="20"/>
  <c r="Q15" i="20"/>
  <c r="Q14" i="20"/>
  <c r="Q20" i="20"/>
  <c r="Q16" i="20"/>
  <c r="Q10" i="20"/>
  <c r="Q50" i="21"/>
  <c r="Q49" i="21"/>
  <c r="Q48" i="21"/>
  <c r="Q47" i="21"/>
  <c r="Q46" i="21"/>
  <c r="Q45" i="21"/>
  <c r="Q44" i="21"/>
  <c r="Q43" i="21"/>
  <c r="Q42" i="21"/>
  <c r="Q41" i="21"/>
  <c r="Q40" i="21"/>
  <c r="Q39" i="21"/>
  <c r="Q38" i="21"/>
  <c r="Q37" i="21"/>
  <c r="Q36" i="21"/>
  <c r="Q35" i="21"/>
  <c r="Q34" i="21"/>
  <c r="Q33" i="21"/>
  <c r="Q32" i="21"/>
  <c r="Q31" i="21"/>
  <c r="Q30" i="21"/>
  <c r="Q29" i="21"/>
  <c r="Q28" i="21"/>
  <c r="Q27" i="21"/>
  <c r="Q26" i="21"/>
  <c r="Q25" i="21"/>
  <c r="Q24" i="21"/>
  <c r="Q19" i="21"/>
  <c r="Q13" i="21"/>
  <c r="Q8" i="21"/>
  <c r="Q14" i="21"/>
  <c r="Q15" i="21"/>
  <c r="Q12" i="21"/>
  <c r="Q18" i="21"/>
  <c r="Q9" i="21"/>
  <c r="Q11" i="21"/>
  <c r="Q16" i="21"/>
  <c r="Q10" i="21"/>
  <c r="Q22" i="21"/>
  <c r="Q7" i="21"/>
  <c r="Q17" i="21"/>
  <c r="Q20" i="21"/>
  <c r="Q4" i="21"/>
  <c r="Q21" i="21"/>
  <c r="Q23" i="2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8"/>
  <c r="Q9" i="19"/>
  <c r="Q22" i="20"/>
  <c r="P49" i="17"/>
  <c r="P48" i="17"/>
  <c r="P47" i="17"/>
  <c r="P45" i="17"/>
  <c r="P44" i="17"/>
  <c r="P43" i="17"/>
  <c r="P41" i="17"/>
  <c r="P40" i="17"/>
  <c r="P39" i="17"/>
  <c r="P37" i="17"/>
  <c r="P36" i="17"/>
  <c r="P35" i="17"/>
  <c r="P33" i="17"/>
  <c r="P32" i="17"/>
  <c r="P31" i="17"/>
  <c r="P29" i="17"/>
  <c r="P28" i="17"/>
  <c r="P27" i="17"/>
  <c r="P25" i="17"/>
  <c r="P24" i="17"/>
  <c r="P23" i="17"/>
  <c r="P21" i="17"/>
  <c r="P20" i="17"/>
  <c r="P49" i="18"/>
  <c r="P48" i="18"/>
  <c r="P47" i="18"/>
  <c r="P45" i="18"/>
  <c r="P44" i="18"/>
  <c r="P43" i="18"/>
  <c r="P41" i="18"/>
  <c r="P40" i="18"/>
  <c r="P39" i="18"/>
  <c r="P37" i="18"/>
  <c r="P36" i="18"/>
  <c r="P35" i="18"/>
  <c r="P33" i="18"/>
  <c r="P32" i="18"/>
  <c r="P31" i="18"/>
  <c r="P20" i="18"/>
  <c r="H20" i="18"/>
  <c r="P29" i="18"/>
  <c r="P12" i="18"/>
  <c r="H12" i="18"/>
  <c r="P4" i="18"/>
  <c r="H4" i="18" s="1"/>
  <c r="P15" i="18"/>
  <c r="H15" i="18"/>
  <c r="P28" i="18"/>
  <c r="P27" i="18"/>
  <c r="P17" i="18"/>
  <c r="H17" i="18"/>
  <c r="P26" i="18"/>
  <c r="P21" i="18"/>
  <c r="H21" i="18"/>
  <c r="P25" i="18"/>
  <c r="P5" i="18"/>
  <c r="H5" i="18" s="1"/>
  <c r="P13" i="18"/>
  <c r="H13" i="18"/>
  <c r="P24" i="18"/>
  <c r="P19" i="18"/>
  <c r="H19" i="18"/>
  <c r="P16" i="18"/>
  <c r="H16" i="18"/>
  <c r="P18" i="18"/>
  <c r="H18" i="18"/>
  <c r="P7" i="18"/>
  <c r="H7" i="18" s="1"/>
  <c r="P9" i="18"/>
  <c r="H9" i="18" s="1"/>
  <c r="P10" i="18"/>
  <c r="H10" i="18"/>
  <c r="P11" i="18"/>
  <c r="H11" i="18"/>
  <c r="P23" i="18"/>
  <c r="H23" i="18"/>
  <c r="P6" i="18"/>
  <c r="H6" i="18" s="1"/>
  <c r="P50" i="19"/>
  <c r="P48" i="19"/>
  <c r="P47" i="19"/>
  <c r="P46" i="19"/>
  <c r="P44" i="19"/>
  <c r="P43" i="19"/>
  <c r="P42" i="19"/>
  <c r="P40" i="19"/>
  <c r="P39" i="19"/>
  <c r="P38" i="19"/>
  <c r="P36" i="19"/>
  <c r="P35" i="19"/>
  <c r="P34" i="19"/>
  <c r="P32" i="19"/>
  <c r="P31" i="19"/>
  <c r="P30" i="19"/>
  <c r="P5" i="19"/>
  <c r="H5" i="19" s="1"/>
  <c r="P11" i="19"/>
  <c r="H11" i="19" s="1"/>
  <c r="P13" i="19"/>
  <c r="H13" i="19"/>
  <c r="P7" i="19"/>
  <c r="H7" i="19" s="1"/>
  <c r="P10" i="19"/>
  <c r="H10" i="19" s="1"/>
  <c r="P18" i="19"/>
  <c r="H18" i="19"/>
  <c r="H21" i="19"/>
  <c r="P4" i="19"/>
  <c r="H4" i="19"/>
  <c r="P24" i="19"/>
  <c r="H24" i="19"/>
  <c r="P19" i="19"/>
  <c r="H19" i="19"/>
  <c r="H17" i="19"/>
  <c r="P12" i="19"/>
  <c r="H12" i="19" s="1"/>
  <c r="P26" i="19"/>
  <c r="P22" i="19"/>
  <c r="H22" i="19"/>
  <c r="P50" i="20"/>
  <c r="P49" i="20"/>
  <c r="P47" i="20"/>
  <c r="P46" i="20"/>
  <c r="P45" i="20"/>
  <c r="P43" i="20"/>
  <c r="P42" i="20"/>
  <c r="P41" i="20"/>
  <c r="P39" i="20"/>
  <c r="P38" i="20"/>
  <c r="P37" i="20"/>
  <c r="H36" i="20"/>
  <c r="P35" i="20"/>
  <c r="H35" i="20"/>
  <c r="P34" i="20"/>
  <c r="H34" i="20"/>
  <c r="P33" i="20"/>
  <c r="H33" i="20"/>
  <c r="H32" i="20"/>
  <c r="P31" i="20"/>
  <c r="H31" i="20"/>
  <c r="P30" i="20"/>
  <c r="H30" i="20"/>
  <c r="P29" i="20"/>
  <c r="H29" i="20"/>
  <c r="H28" i="20"/>
  <c r="P27" i="20"/>
  <c r="H27" i="20"/>
  <c r="P26" i="20"/>
  <c r="H26" i="20"/>
  <c r="P25" i="20"/>
  <c r="H25" i="20"/>
  <c r="H24" i="20"/>
  <c r="P8" i="20"/>
  <c r="H8" i="20" s="1"/>
  <c r="P13" i="20"/>
  <c r="H13" i="20"/>
  <c r="P21" i="20"/>
  <c r="H21" i="20"/>
  <c r="H12" i="20"/>
  <c r="P9" i="20"/>
  <c r="H9" i="20" s="1"/>
  <c r="P19" i="20"/>
  <c r="H19" i="20"/>
  <c r="P17" i="20"/>
  <c r="H17" i="20"/>
  <c r="P15" i="20"/>
  <c r="H15" i="20"/>
  <c r="P14" i="20"/>
  <c r="H14" i="20"/>
  <c r="H20" i="20"/>
  <c r="H16" i="20"/>
  <c r="P50" i="21"/>
  <c r="P49" i="21"/>
  <c r="P48" i="21"/>
  <c r="P47" i="21"/>
  <c r="P46" i="21"/>
  <c r="P45" i="21"/>
  <c r="P44" i="21"/>
  <c r="P43" i="21"/>
  <c r="P42" i="21"/>
  <c r="P41" i="21"/>
  <c r="P40" i="21"/>
  <c r="P39" i="21"/>
  <c r="P38" i="21"/>
  <c r="P37" i="21"/>
  <c r="P36" i="21"/>
  <c r="P35" i="21"/>
  <c r="P34" i="21"/>
  <c r="P33" i="21"/>
  <c r="P32" i="21"/>
  <c r="H32" i="21"/>
  <c r="H31" i="21"/>
  <c r="P30" i="21"/>
  <c r="H30" i="21"/>
  <c r="P29" i="21"/>
  <c r="H29" i="21"/>
  <c r="P28" i="21"/>
  <c r="H28" i="21"/>
  <c r="H27" i="21"/>
  <c r="P26" i="21"/>
  <c r="H26" i="21"/>
  <c r="P25" i="21"/>
  <c r="H25" i="21"/>
  <c r="P24" i="21"/>
  <c r="H24" i="21"/>
  <c r="H19" i="21"/>
  <c r="P8" i="21"/>
  <c r="H8" i="21" s="1"/>
  <c r="P14" i="21"/>
  <c r="H14" i="21"/>
  <c r="H15" i="21"/>
  <c r="P12" i="21"/>
  <c r="H12" i="21"/>
  <c r="P18" i="21"/>
  <c r="H18" i="21"/>
  <c r="P9" i="21"/>
  <c r="H9" i="21" s="1"/>
  <c r="H11" i="21"/>
  <c r="P16" i="21"/>
  <c r="H16" i="21"/>
  <c r="P10" i="21"/>
  <c r="H10" i="21"/>
  <c r="P7" i="21"/>
  <c r="H7" i="21" s="1"/>
  <c r="P20" i="21"/>
  <c r="H20" i="21"/>
  <c r="P21" i="21"/>
  <c r="H21" i="21"/>
  <c r="P50" i="1"/>
  <c r="P49" i="1"/>
  <c r="P47" i="1"/>
  <c r="P46" i="1"/>
  <c r="P45" i="1"/>
  <c r="P43" i="1"/>
  <c r="P42" i="1"/>
  <c r="P41" i="1"/>
  <c r="P39" i="1"/>
  <c r="P38" i="1"/>
  <c r="P37" i="1"/>
  <c r="P35" i="1"/>
  <c r="P34" i="1"/>
  <c r="P33" i="1"/>
  <c r="P31" i="1"/>
  <c r="P30" i="1"/>
  <c r="P29" i="1"/>
  <c r="P27" i="1"/>
  <c r="P26" i="1"/>
  <c r="P25" i="1"/>
  <c r="P23" i="1"/>
  <c r="P22" i="1"/>
  <c r="P21" i="1"/>
  <c r="P19" i="1"/>
  <c r="P18" i="1"/>
  <c r="P17" i="1"/>
  <c r="P15" i="1"/>
  <c r="P7" i="1"/>
  <c r="H7" i="1" s="1"/>
  <c r="P10" i="20"/>
  <c r="H10" i="20" s="1"/>
  <c r="H23" i="21"/>
  <c r="P15" i="17"/>
  <c r="P10" i="17"/>
  <c r="H10" i="17" s="1"/>
  <c r="P17" i="17"/>
  <c r="P19" i="17"/>
  <c r="Q13" i="1"/>
  <c r="Q10" i="1"/>
  <c r="T1" i="16"/>
  <c r="K32" i="20"/>
  <c r="K34" i="20"/>
  <c r="K36" i="20"/>
  <c r="K31" i="20"/>
  <c r="K33" i="20"/>
  <c r="K35" i="20"/>
  <c r="K24" i="20"/>
  <c r="K26" i="20"/>
  <c r="K28" i="20"/>
  <c r="K30" i="20"/>
  <c r="K25" i="20"/>
  <c r="K27" i="20"/>
  <c r="K29" i="20"/>
  <c r="K24" i="21"/>
  <c r="K26" i="21"/>
  <c r="K28" i="21"/>
  <c r="K30" i="21"/>
  <c r="K32" i="21"/>
  <c r="K29" i="21"/>
  <c r="K31" i="21"/>
  <c r="K25" i="21"/>
  <c r="K27" i="21"/>
  <c r="K22" i="18"/>
  <c r="K23" i="18"/>
  <c r="K25" i="19"/>
  <c r="K11" i="20"/>
  <c r="K23" i="20"/>
  <c r="K18" i="20"/>
  <c r="K12" i="20"/>
  <c r="K21" i="20"/>
  <c r="K13" i="20"/>
  <c r="K16" i="20"/>
  <c r="K14" i="20"/>
  <c r="K17" i="20"/>
  <c r="K19" i="20"/>
  <c r="K20" i="20"/>
  <c r="K15" i="20"/>
  <c r="K22" i="20"/>
  <c r="K22" i="21"/>
  <c r="K19" i="21"/>
  <c r="K14" i="21"/>
  <c r="K13" i="21"/>
  <c r="K11" i="21"/>
  <c r="K18" i="21"/>
  <c r="K15" i="21"/>
  <c r="K12" i="21"/>
  <c r="K16" i="21"/>
  <c r="K21" i="21"/>
  <c r="K20" i="21"/>
  <c r="K10" i="21"/>
  <c r="K23" i="21"/>
  <c r="K17" i="21"/>
  <c r="K21" i="18"/>
  <c r="K17" i="18"/>
  <c r="K15" i="18"/>
  <c r="K12" i="18"/>
  <c r="K20" i="18"/>
  <c r="K18" i="18"/>
  <c r="K19" i="18"/>
  <c r="K13" i="18"/>
  <c r="K10" i="18"/>
  <c r="K16" i="18"/>
  <c r="K14" i="18"/>
  <c r="K11" i="18"/>
  <c r="K18" i="19"/>
  <c r="P6" i="19"/>
  <c r="H6" i="19" s="1"/>
  <c r="P16" i="19"/>
  <c r="H16" i="19" s="1"/>
  <c r="P20" i="19"/>
  <c r="H20" i="19"/>
  <c r="K24" i="19"/>
  <c r="K21" i="19"/>
  <c r="K23" i="19"/>
  <c r="K17" i="19"/>
  <c r="K20" i="19"/>
  <c r="P23" i="19"/>
  <c r="H23" i="19"/>
  <c r="K19" i="19"/>
  <c r="K22" i="19"/>
  <c r="K14" i="17"/>
  <c r="K16" i="17"/>
  <c r="K13" i="17"/>
  <c r="K15" i="17"/>
  <c r="K17" i="17"/>
  <c r="Q5" i="1"/>
  <c r="P5" i="1"/>
  <c r="H5" i="1" s="1"/>
  <c r="Q14" i="1"/>
  <c r="P14" i="1"/>
  <c r="P13" i="1"/>
  <c r="K14" i="1"/>
  <c r="K13" i="1"/>
  <c r="Q5" i="20" l="1"/>
  <c r="K4" i="20" s="1"/>
  <c r="Q7" i="20"/>
  <c r="K4" i="21"/>
  <c r="Q5" i="21"/>
  <c r="Q6" i="21"/>
  <c r="K9" i="21" s="1"/>
  <c r="K8" i="18"/>
  <c r="K4" i="18"/>
  <c r="K9" i="18"/>
  <c r="K5" i="18"/>
  <c r="K7" i="18"/>
  <c r="Q14" i="19"/>
  <c r="P15" i="19"/>
  <c r="H15" i="19" s="1"/>
  <c r="K11" i="19"/>
  <c r="Q8" i="19"/>
  <c r="K8" i="19" s="1"/>
  <c r="Q4" i="1"/>
  <c r="P6" i="1"/>
  <c r="H6" i="1" s="1"/>
  <c r="Q11" i="1"/>
  <c r="Q8" i="1"/>
  <c r="K9" i="1" s="1"/>
  <c r="Q12" i="1"/>
  <c r="Q9" i="17"/>
  <c r="Q8" i="17"/>
  <c r="Q11" i="17"/>
  <c r="P12" i="17"/>
  <c r="H12" i="17" s="1"/>
  <c r="S4" i="16"/>
  <c r="S12" i="16"/>
  <c r="S20" i="16"/>
  <c r="S28" i="16"/>
  <c r="S3" i="16"/>
  <c r="G3" i="16" s="1"/>
  <c r="G4" i="16" s="1"/>
  <c r="S11" i="16"/>
  <c r="S19" i="16"/>
  <c r="S27" i="16"/>
  <c r="S26" i="16"/>
  <c r="S17" i="16"/>
  <c r="S6" i="16"/>
  <c r="S14" i="16"/>
  <c r="S22" i="16"/>
  <c r="S30" i="16"/>
  <c r="S5" i="16"/>
  <c r="S13" i="16"/>
  <c r="S21" i="16"/>
  <c r="S29" i="16"/>
  <c r="S18" i="16"/>
  <c r="S33" i="16"/>
  <c r="S8" i="16"/>
  <c r="S16" i="16"/>
  <c r="S24" i="16"/>
  <c r="S32" i="16"/>
  <c r="S7" i="16"/>
  <c r="S15" i="16"/>
  <c r="S23" i="16"/>
  <c r="S31" i="16"/>
  <c r="S10" i="16"/>
  <c r="S9" i="16"/>
  <c r="S25" i="16"/>
  <c r="P9" i="1"/>
  <c r="H9" i="1" s="1"/>
  <c r="Q6" i="17"/>
  <c r="K6" i="20" l="1"/>
  <c r="K7" i="20"/>
  <c r="K9" i="20"/>
  <c r="K5" i="20"/>
  <c r="K10" i="20"/>
  <c r="K8" i="20"/>
  <c r="K6" i="21"/>
  <c r="K7" i="21"/>
  <c r="K5" i="21"/>
  <c r="K8" i="21"/>
  <c r="K15" i="19"/>
  <c r="K16" i="19"/>
  <c r="K9" i="19"/>
  <c r="K7" i="19"/>
  <c r="K4" i="19"/>
  <c r="K5" i="19"/>
  <c r="K6" i="19"/>
  <c r="K10" i="19"/>
  <c r="K14" i="19"/>
  <c r="K13" i="19"/>
  <c r="K12" i="19"/>
  <c r="K12" i="1"/>
  <c r="K6" i="1"/>
  <c r="K4" i="1"/>
  <c r="K10" i="1"/>
  <c r="K7" i="1"/>
  <c r="K11" i="1"/>
  <c r="K5" i="1"/>
  <c r="K8" i="1"/>
  <c r="K10" i="17"/>
  <c r="K9" i="17"/>
  <c r="K7" i="17"/>
  <c r="K6" i="17"/>
  <c r="K8" i="17"/>
  <c r="K5" i="17"/>
  <c r="K4" i="17"/>
  <c r="K11" i="17"/>
  <c r="K12" i="17"/>
  <c r="H3" i="16"/>
  <c r="H4" i="16" s="1"/>
  <c r="H5" i="16" s="1"/>
  <c r="H6" i="16" s="1"/>
  <c r="H7" i="16" s="1"/>
  <c r="H8" i="16" s="1"/>
  <c r="H9" i="16" s="1"/>
  <c r="H10" i="16" s="1"/>
  <c r="H11" i="16" s="1"/>
  <c r="H12" i="16" s="1"/>
  <c r="H13" i="16" s="1"/>
  <c r="H14" i="16" s="1"/>
  <c r="H15" i="16" s="1"/>
  <c r="H16" i="16" s="1"/>
  <c r="H17" i="16" s="1"/>
  <c r="H18" i="16" s="1"/>
  <c r="H19" i="16" s="1"/>
  <c r="H20" i="16" s="1"/>
  <c r="H21" i="16" s="1"/>
  <c r="H22" i="16" s="1"/>
  <c r="H23" i="16" s="1"/>
  <c r="H24" i="16" s="1"/>
  <c r="H25" i="16" s="1"/>
  <c r="H26" i="16" s="1"/>
  <c r="H27" i="16" s="1"/>
  <c r="H28" i="16" s="1"/>
  <c r="H29" i="16" s="1"/>
  <c r="H30" i="16" s="1"/>
  <c r="H31" i="16" s="1"/>
  <c r="H32" i="16" s="1"/>
  <c r="H33" i="16" s="1"/>
  <c r="H34" i="16" s="1"/>
  <c r="H35" i="16" s="1"/>
  <c r="H36" i="16" s="1"/>
  <c r="H37" i="16" s="1"/>
  <c r="H38" i="16" s="1"/>
  <c r="H39" i="16" s="1"/>
  <c r="H40" i="16" s="1"/>
  <c r="H41" i="16" s="1"/>
  <c r="H42" i="16" s="1"/>
  <c r="H43" i="16" s="1"/>
  <c r="H44" i="16" s="1"/>
  <c r="H45" i="16" s="1"/>
  <c r="H46" i="16" s="1"/>
  <c r="H47" i="16" s="1"/>
  <c r="H48" i="16" s="1"/>
  <c r="H49" i="16" s="1"/>
  <c r="H50" i="16" s="1"/>
  <c r="H51" i="16" s="1"/>
  <c r="H52" i="16" s="1"/>
  <c r="H53" i="16" s="1"/>
  <c r="H54" i="16" s="1"/>
  <c r="H55" i="16" s="1"/>
  <c r="H56" i="16" s="1"/>
  <c r="H57" i="16" s="1"/>
  <c r="H58" i="16" s="1"/>
  <c r="H59" i="16" s="1"/>
  <c r="H60" i="16" s="1"/>
  <c r="H61" i="16" s="1"/>
  <c r="H62" i="16" s="1"/>
  <c r="H63" i="16" s="1"/>
  <c r="H64" i="16" s="1"/>
  <c r="H65" i="16" s="1"/>
  <c r="H66" i="16" s="1"/>
  <c r="H67" i="16" s="1"/>
  <c r="H68" i="16" s="1"/>
  <c r="H69" i="16" s="1"/>
  <c r="H70" i="16" s="1"/>
  <c r="H71" i="16" s="1"/>
  <c r="H72" i="16" s="1"/>
  <c r="H73" i="16" s="1"/>
  <c r="H74" i="16" s="1"/>
  <c r="H75" i="16" s="1"/>
  <c r="H76" i="16" s="1"/>
  <c r="H77" i="16" s="1"/>
  <c r="H78" i="16" s="1"/>
  <c r="H79" i="16" s="1"/>
  <c r="H80" i="16" s="1"/>
  <c r="H81" i="16" s="1"/>
  <c r="H82" i="16" s="1"/>
  <c r="H83" i="16" s="1"/>
  <c r="H84" i="16" s="1"/>
  <c r="H85" i="16" s="1"/>
  <c r="H86" i="16" s="1"/>
  <c r="H87" i="16" s="1"/>
  <c r="H88" i="16" s="1"/>
  <c r="H89" i="16" s="1"/>
  <c r="H90" i="16" s="1"/>
  <c r="H91" i="16" s="1"/>
  <c r="H92" i="16" s="1"/>
  <c r="H93" i="16" s="1"/>
  <c r="H94" i="16" s="1"/>
  <c r="H95" i="16" s="1"/>
  <c r="H96" i="16" s="1"/>
  <c r="H97" i="16" s="1"/>
  <c r="H98" i="16" s="1"/>
  <c r="H99" i="16" s="1"/>
  <c r="H100" i="16" s="1"/>
  <c r="H101" i="16" s="1"/>
  <c r="H102" i="16" s="1"/>
  <c r="H103" i="16" s="1"/>
  <c r="H104" i="16" s="1"/>
  <c r="H105" i="16" s="1"/>
  <c r="H106" i="16" s="1"/>
  <c r="H107" i="16" s="1"/>
  <c r="H108" i="16" s="1"/>
  <c r="H109" i="16" s="1"/>
  <c r="H110" i="16" s="1"/>
  <c r="H111" i="16" s="1"/>
  <c r="H112" i="16" s="1"/>
  <c r="H113" i="16" s="1"/>
  <c r="H114" i="16" s="1"/>
  <c r="H115" i="16" s="1"/>
  <c r="H116" i="16" s="1"/>
  <c r="H117" i="16" s="1"/>
  <c r="H118" i="16" s="1"/>
  <c r="H119" i="16" s="1"/>
  <c r="H120" i="16" s="1"/>
  <c r="H121" i="16" s="1"/>
  <c r="H122" i="16" s="1"/>
  <c r="H123" i="16" s="1"/>
  <c r="H124" i="16" s="1"/>
  <c r="H125" i="16" s="1"/>
  <c r="H126" i="16" s="1"/>
  <c r="H127" i="16" s="1"/>
  <c r="H128" i="16" s="1"/>
  <c r="H129" i="16" s="1"/>
  <c r="H130" i="16" s="1"/>
  <c r="H131" i="16" s="1"/>
  <c r="H132" i="16" s="1"/>
  <c r="H133" i="16" s="1"/>
  <c r="H134" i="16" s="1"/>
  <c r="H135" i="16" s="1"/>
  <c r="H136" i="16" s="1"/>
  <c r="H137" i="16" s="1"/>
  <c r="H138" i="16" s="1"/>
  <c r="H139" i="16" s="1"/>
  <c r="H140" i="16" s="1"/>
  <c r="H141" i="16" s="1"/>
  <c r="H142" i="16" s="1"/>
  <c r="H143" i="16" s="1"/>
  <c r="H144" i="16" s="1"/>
  <c r="H145" i="16" s="1"/>
  <c r="H146" i="16" s="1"/>
  <c r="H147" i="16" s="1"/>
  <c r="H148" i="16" s="1"/>
  <c r="H149" i="16" s="1"/>
  <c r="H150" i="16" s="1"/>
  <c r="H151" i="16" s="1"/>
  <c r="H152" i="16" s="1"/>
  <c r="H153" i="16" s="1"/>
  <c r="H154" i="16" s="1"/>
  <c r="H155" i="16" s="1"/>
  <c r="H156" i="16" s="1"/>
  <c r="H157" i="16" s="1"/>
  <c r="H158" i="16" s="1"/>
  <c r="H159" i="16" s="1"/>
  <c r="H160" i="16" s="1"/>
  <c r="H161" i="16" s="1"/>
  <c r="H162" i="16" s="1"/>
  <c r="H163" i="16" s="1"/>
  <c r="H164" i="16" s="1"/>
  <c r="H165" i="16" s="1"/>
  <c r="H166" i="16" s="1"/>
  <c r="H167" i="16" s="1"/>
  <c r="H168" i="16" s="1"/>
  <c r="H169" i="16" s="1"/>
  <c r="H170" i="16" s="1"/>
  <c r="H171" i="16" s="1"/>
  <c r="H172" i="16" s="1"/>
  <c r="H173" i="16" s="1"/>
  <c r="H174" i="16" s="1"/>
  <c r="H175" i="16" s="1"/>
  <c r="H176" i="16" s="1"/>
  <c r="H177" i="16" s="1"/>
  <c r="H178" i="16" s="1"/>
  <c r="H179" i="16" s="1"/>
  <c r="H180" i="16" s="1"/>
  <c r="H181" i="16" s="1"/>
  <c r="H182" i="16" s="1"/>
  <c r="H183" i="16" s="1"/>
  <c r="H184" i="16" s="1"/>
  <c r="H185" i="16" s="1"/>
  <c r="H186" i="16" s="1"/>
  <c r="H187" i="16" s="1"/>
  <c r="H188" i="16" s="1"/>
  <c r="H189" i="16" s="1"/>
  <c r="H190" i="16" s="1"/>
  <c r="H191" i="16" s="1"/>
  <c r="H192" i="16" s="1"/>
  <c r="H193" i="16" s="1"/>
  <c r="H194" i="16" s="1"/>
  <c r="H195" i="16" s="1"/>
  <c r="H196" i="16" s="1"/>
  <c r="H197" i="16" s="1"/>
  <c r="H198" i="16" s="1"/>
  <c r="H199" i="16" s="1"/>
  <c r="H200" i="16" s="1"/>
  <c r="H201" i="16" s="1"/>
  <c r="H202" i="16" s="1"/>
  <c r="J3" i="16"/>
  <c r="J4" i="16" s="1"/>
  <c r="J5" i="16" s="1"/>
  <c r="J6" i="16" s="1"/>
  <c r="J7" i="16" s="1"/>
  <c r="J8" i="16" s="1"/>
  <c r="J9" i="16" s="1"/>
  <c r="J10" i="16" s="1"/>
  <c r="J11" i="16" s="1"/>
  <c r="J12" i="16" s="1"/>
  <c r="J13" i="16" s="1"/>
  <c r="J14" i="16" s="1"/>
  <c r="J15" i="16" s="1"/>
  <c r="J16" i="16" s="1"/>
  <c r="J17" i="16" s="1"/>
  <c r="J18" i="16" s="1"/>
  <c r="J19" i="16" s="1"/>
  <c r="J20" i="16" s="1"/>
  <c r="J21" i="16" s="1"/>
  <c r="J22" i="16" s="1"/>
  <c r="J23" i="16" s="1"/>
  <c r="J24" i="16" s="1"/>
  <c r="J25" i="16" s="1"/>
  <c r="J26" i="16" s="1"/>
  <c r="J27" i="16" s="1"/>
  <c r="J28" i="16" s="1"/>
  <c r="J29" i="16" s="1"/>
  <c r="I3" i="16"/>
  <c r="I4" i="16" s="1"/>
  <c r="I5" i="16" s="1"/>
  <c r="I6" i="16" s="1"/>
  <c r="I7" i="16" s="1"/>
  <c r="I8" i="16" s="1"/>
  <c r="I9" i="16" s="1"/>
  <c r="I10" i="16" s="1"/>
  <c r="I11" i="16" s="1"/>
  <c r="I12" i="16" s="1"/>
  <c r="I13" i="16" s="1"/>
  <c r="I14" i="16" s="1"/>
  <c r="I15" i="16" s="1"/>
  <c r="I16" i="16" s="1"/>
  <c r="I17" i="16" s="1"/>
  <c r="I18" i="16" s="1"/>
  <c r="I19" i="16" s="1"/>
  <c r="I20" i="16" s="1"/>
  <c r="I21" i="16" s="1"/>
  <c r="I22" i="16" s="1"/>
  <c r="I23" i="16" s="1"/>
  <c r="I24" i="16" s="1"/>
  <c r="I25" i="16" s="1"/>
  <c r="I26" i="16" s="1"/>
  <c r="I27" i="16" s="1"/>
  <c r="I28" i="16" s="1"/>
  <c r="I29" i="16" s="1"/>
  <c r="I30" i="16" s="1"/>
  <c r="I31" i="16" s="1"/>
  <c r="I32" i="16" s="1"/>
  <c r="I33" i="16" s="1"/>
  <c r="I34" i="16" s="1"/>
  <c r="I35" i="16" s="1"/>
  <c r="I36" i="16" s="1"/>
  <c r="I37" i="16" s="1"/>
  <c r="I38" i="16" s="1"/>
  <c r="I39" i="16" s="1"/>
  <c r="I40" i="16" s="1"/>
  <c r="I41" i="16" s="1"/>
  <c r="I42" i="16" s="1"/>
  <c r="I43" i="16" s="1"/>
  <c r="I44" i="16" s="1"/>
  <c r="I45" i="16" s="1"/>
  <c r="I46" i="16" s="1"/>
  <c r="I47" i="16" s="1"/>
  <c r="I48" i="16" s="1"/>
  <c r="I49" i="16" s="1"/>
  <c r="I50" i="16" s="1"/>
  <c r="I51" i="16" s="1"/>
  <c r="I52" i="16" s="1"/>
  <c r="I53" i="16" s="1"/>
  <c r="I54" i="16" s="1"/>
  <c r="I55" i="16" s="1"/>
  <c r="I56" i="16" s="1"/>
  <c r="I57" i="16" s="1"/>
  <c r="I58" i="16" s="1"/>
  <c r="I59" i="16" s="1"/>
  <c r="I60" i="16" s="1"/>
  <c r="I61" i="16" s="1"/>
  <c r="I62" i="16" s="1"/>
  <c r="I63" i="16" s="1"/>
  <c r="I64" i="16" s="1"/>
  <c r="I65" i="16" s="1"/>
  <c r="I66" i="16" s="1"/>
  <c r="I67" i="16" s="1"/>
  <c r="I68" i="16" s="1"/>
  <c r="I69" i="16" s="1"/>
  <c r="I70" i="16" s="1"/>
  <c r="I71" i="16" s="1"/>
  <c r="I72" i="16" s="1"/>
  <c r="I73" i="16" s="1"/>
  <c r="I74" i="16" s="1"/>
  <c r="I75" i="16" s="1"/>
  <c r="I76" i="16" s="1"/>
  <c r="I77" i="16" s="1"/>
  <c r="I78" i="16" s="1"/>
  <c r="I79" i="16" s="1"/>
  <c r="I80" i="16" s="1"/>
  <c r="I81" i="16" s="1"/>
  <c r="I82" i="16" s="1"/>
  <c r="I83" i="16" s="1"/>
  <c r="I84" i="16" s="1"/>
  <c r="I85" i="16" s="1"/>
  <c r="I86" i="16" s="1"/>
  <c r="I87" i="16" s="1"/>
  <c r="I88" i="16" s="1"/>
  <c r="I89" i="16" s="1"/>
  <c r="I90" i="16" s="1"/>
  <c r="I91" i="16" s="1"/>
  <c r="I92" i="16" s="1"/>
  <c r="I93" i="16" s="1"/>
  <c r="I94" i="16" s="1"/>
  <c r="I95" i="16" s="1"/>
  <c r="I96" i="16" s="1"/>
  <c r="I97" i="16" s="1"/>
  <c r="I98" i="16" s="1"/>
  <c r="I99" i="16" s="1"/>
  <c r="I100" i="16" s="1"/>
  <c r="I101" i="16" s="1"/>
  <c r="I102" i="16" s="1"/>
  <c r="I103" i="16" s="1"/>
  <c r="I104" i="16" s="1"/>
  <c r="I105" i="16" s="1"/>
  <c r="I106" i="16" s="1"/>
  <c r="I107" i="16" s="1"/>
  <c r="I108" i="16" s="1"/>
  <c r="I109" i="16" s="1"/>
  <c r="I110" i="16" s="1"/>
  <c r="I111" i="16" s="1"/>
  <c r="I112" i="16" s="1"/>
  <c r="I113" i="16" s="1"/>
  <c r="I114" i="16" s="1"/>
  <c r="I115" i="16" s="1"/>
  <c r="I116" i="16" s="1"/>
  <c r="I117" i="16" s="1"/>
  <c r="I118" i="16" s="1"/>
  <c r="I119" i="16" s="1"/>
  <c r="I120" i="16" s="1"/>
  <c r="I121" i="16" s="1"/>
  <c r="I122" i="16" s="1"/>
  <c r="I123" i="16" s="1"/>
  <c r="I124" i="16" s="1"/>
  <c r="I125" i="16" s="1"/>
  <c r="I126" i="16" s="1"/>
  <c r="I127" i="16" s="1"/>
  <c r="I128" i="16" s="1"/>
  <c r="I129" i="16" s="1"/>
  <c r="I130" i="16" s="1"/>
  <c r="I131" i="16" s="1"/>
  <c r="I132" i="16" s="1"/>
  <c r="I133" i="16" s="1"/>
  <c r="I134" i="16" s="1"/>
  <c r="I135" i="16" s="1"/>
  <c r="I136" i="16" s="1"/>
  <c r="I137" i="16" s="1"/>
  <c r="I138" i="16" s="1"/>
  <c r="I139" i="16" s="1"/>
  <c r="I140" i="16" s="1"/>
  <c r="I141" i="16" s="1"/>
  <c r="I142" i="16" s="1"/>
  <c r="I143" i="16" s="1"/>
  <c r="I144" i="16" s="1"/>
  <c r="I145" i="16" s="1"/>
  <c r="I146" i="16" s="1"/>
  <c r="I147" i="16" s="1"/>
  <c r="I148" i="16" s="1"/>
  <c r="I149" i="16" s="1"/>
  <c r="I150" i="16" s="1"/>
  <c r="I151" i="16" s="1"/>
  <c r="I152" i="16" s="1"/>
  <c r="I153" i="16" s="1"/>
  <c r="I154" i="16" s="1"/>
  <c r="I155" i="16" s="1"/>
  <c r="I156" i="16" s="1"/>
  <c r="I157" i="16" s="1"/>
  <c r="I158" i="16" s="1"/>
  <c r="I159" i="16" s="1"/>
  <c r="I160" i="16" s="1"/>
  <c r="I161" i="16" s="1"/>
  <c r="I162" i="16" s="1"/>
  <c r="I163" i="16" s="1"/>
  <c r="I164" i="16" s="1"/>
  <c r="I165" i="16" s="1"/>
  <c r="I166" i="16" s="1"/>
  <c r="I167" i="16" s="1"/>
  <c r="I168" i="16" s="1"/>
  <c r="I169" i="16" s="1"/>
  <c r="I170" i="16" s="1"/>
  <c r="I171" i="16" s="1"/>
  <c r="I172" i="16" s="1"/>
  <c r="I173" i="16" s="1"/>
  <c r="I174" i="16" s="1"/>
  <c r="I175" i="16" s="1"/>
  <c r="I176" i="16" s="1"/>
  <c r="I177" i="16" s="1"/>
  <c r="I178" i="16" s="1"/>
  <c r="I179" i="16" s="1"/>
  <c r="I180" i="16" s="1"/>
  <c r="I181" i="16" s="1"/>
  <c r="I182" i="16" s="1"/>
  <c r="I183" i="16" s="1"/>
  <c r="I184" i="16" s="1"/>
  <c r="I185" i="16" s="1"/>
  <c r="I186" i="16" s="1"/>
  <c r="I187" i="16" s="1"/>
  <c r="I188" i="16" s="1"/>
  <c r="I189" i="16" s="1"/>
  <c r="I190" i="16" s="1"/>
  <c r="I191" i="16" s="1"/>
  <c r="I192" i="16" s="1"/>
  <c r="I193" i="16" s="1"/>
  <c r="I194" i="16" s="1"/>
  <c r="I195" i="16" s="1"/>
  <c r="I196" i="16" s="1"/>
  <c r="I197" i="16" s="1"/>
  <c r="I198" i="16" s="1"/>
  <c r="I199" i="16" s="1"/>
  <c r="I200" i="16" s="1"/>
  <c r="I201" i="16" s="1"/>
  <c r="I202" i="16" s="1"/>
  <c r="A3" i="16"/>
  <c r="A4" i="16" s="1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D3" i="16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D21" i="16" s="1"/>
  <c r="D22" i="16" s="1"/>
  <c r="D23" i="16" s="1"/>
  <c r="D24" i="16" s="1"/>
  <c r="D25" i="16" s="1"/>
  <c r="D26" i="16" s="1"/>
  <c r="D27" i="16" s="1"/>
  <c r="D28" i="16" s="1"/>
  <c r="D29" i="16" s="1"/>
  <c r="C3" i="16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C32" i="16" s="1"/>
  <c r="C33" i="16" s="1"/>
  <c r="F3" i="16"/>
  <c r="F4" i="16" s="1"/>
  <c r="F5" i="16" s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B3" i="16"/>
  <c r="B4" i="16" s="1"/>
  <c r="B5" i="16" s="1"/>
  <c r="B6" i="16" s="1"/>
  <c r="B7" i="16" s="1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G5" i="16"/>
  <c r="G6" i="16" s="1"/>
  <c r="G7" i="16" s="1"/>
  <c r="G8" i="16" s="1"/>
  <c r="G9" i="16" s="1"/>
  <c r="G10" i="16" s="1"/>
  <c r="G11" i="16" s="1"/>
  <c r="G12" i="16" s="1"/>
  <c r="G13" i="16" s="1"/>
  <c r="G14" i="16" s="1"/>
  <c r="G15" i="16" s="1"/>
  <c r="G16" i="16" s="1"/>
  <c r="G17" i="16" s="1"/>
  <c r="G18" i="16" s="1"/>
  <c r="G19" i="16" s="1"/>
  <c r="G20" i="16" s="1"/>
  <c r="G21" i="16" s="1"/>
  <c r="G22" i="16" s="1"/>
  <c r="G23" i="16" s="1"/>
  <c r="G24" i="16" s="1"/>
  <c r="G25" i="16" s="1"/>
  <c r="G26" i="16" s="1"/>
  <c r="G27" i="16" s="1"/>
  <c r="G28" i="16" s="1"/>
  <c r="G29" i="16" s="1"/>
  <c r="E3" i="16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E109" i="16" s="1"/>
  <c r="E110" i="16" s="1"/>
  <c r="E111" i="16" s="1"/>
  <c r="E112" i="16" s="1"/>
  <c r="E113" i="16" s="1"/>
  <c r="E114" i="16" s="1"/>
  <c r="E115" i="16" s="1"/>
  <c r="E116" i="16" s="1"/>
  <c r="E117" i="16" s="1"/>
  <c r="E118" i="16" s="1"/>
  <c r="E119" i="16" s="1"/>
  <c r="E120" i="16" s="1"/>
  <c r="E121" i="16" s="1"/>
  <c r="E122" i="16" s="1"/>
  <c r="E123" i="16" s="1"/>
  <c r="E124" i="16" s="1"/>
  <c r="E125" i="16" s="1"/>
  <c r="E126" i="16" s="1"/>
  <c r="E127" i="16" s="1"/>
  <c r="E128" i="16" s="1"/>
  <c r="E129" i="16" s="1"/>
  <c r="E130" i="16" s="1"/>
  <c r="E131" i="16" s="1"/>
  <c r="E132" i="16" s="1"/>
  <c r="E133" i="16" s="1"/>
  <c r="E134" i="16" s="1"/>
  <c r="E135" i="16" s="1"/>
  <c r="E136" i="16" s="1"/>
  <c r="E137" i="16" s="1"/>
  <c r="E138" i="16" s="1"/>
  <c r="E139" i="16" s="1"/>
  <c r="E140" i="16" s="1"/>
  <c r="E141" i="16" s="1"/>
  <c r="E142" i="16" s="1"/>
  <c r="E143" i="16" s="1"/>
  <c r="E144" i="16" s="1"/>
  <c r="E145" i="16" s="1"/>
  <c r="E146" i="16" s="1"/>
  <c r="E147" i="16" s="1"/>
  <c r="E148" i="16" s="1"/>
  <c r="E149" i="16" s="1"/>
  <c r="E150" i="16" s="1"/>
  <c r="E151" i="16" s="1"/>
  <c r="E152" i="16" s="1"/>
  <c r="E153" i="16" s="1"/>
  <c r="E154" i="16" s="1"/>
  <c r="E155" i="16" s="1"/>
  <c r="E156" i="16" s="1"/>
  <c r="E157" i="16" s="1"/>
  <c r="E158" i="16" s="1"/>
  <c r="E159" i="16" s="1"/>
  <c r="E160" i="16" s="1"/>
  <c r="E161" i="16" s="1"/>
  <c r="E162" i="16" s="1"/>
  <c r="E163" i="16" s="1"/>
  <c r="E164" i="16" s="1"/>
  <c r="E165" i="16" s="1"/>
  <c r="E166" i="16" s="1"/>
  <c r="E167" i="16" s="1"/>
  <c r="E168" i="16" s="1"/>
  <c r="E169" i="16" s="1"/>
  <c r="E170" i="16" s="1"/>
  <c r="E171" i="16" s="1"/>
  <c r="E172" i="16" s="1"/>
  <c r="E173" i="16" s="1"/>
  <c r="E174" i="16" s="1"/>
  <c r="E175" i="16" s="1"/>
  <c r="E176" i="16" s="1"/>
  <c r="E177" i="16" s="1"/>
  <c r="E178" i="16" s="1"/>
  <c r="E179" i="16" s="1"/>
  <c r="E180" i="16" s="1"/>
  <c r="E181" i="16" s="1"/>
  <c r="E182" i="16" s="1"/>
  <c r="E183" i="16" s="1"/>
  <c r="E184" i="16" s="1"/>
  <c r="E185" i="16" s="1"/>
  <c r="E186" i="16" s="1"/>
  <c r="E187" i="16" s="1"/>
  <c r="E188" i="16" s="1"/>
  <c r="E189" i="16" s="1"/>
  <c r="E190" i="16" s="1"/>
  <c r="E191" i="16" s="1"/>
  <c r="E192" i="16" s="1"/>
  <c r="E193" i="16" s="1"/>
  <c r="E194" i="16" s="1"/>
  <c r="E195" i="16" s="1"/>
  <c r="E196" i="16" s="1"/>
  <c r="E197" i="16" s="1"/>
  <c r="E198" i="16" s="1"/>
  <c r="E199" i="16" s="1"/>
  <c r="E200" i="16" s="1"/>
  <c r="E201" i="16" s="1"/>
  <c r="E202" i="16" s="1"/>
  <c r="N52" i="20" l="1"/>
  <c r="I52" i="20" s="1"/>
  <c r="N35" i="20"/>
  <c r="C35" i="20" s="1"/>
  <c r="N33" i="20"/>
  <c r="C33" i="20" s="1"/>
  <c r="N37" i="20"/>
  <c r="B37" i="20" s="1"/>
  <c r="N48" i="20"/>
  <c r="B48" i="20" s="1"/>
  <c r="N27" i="20"/>
  <c r="C27" i="20" s="1"/>
  <c r="N7" i="20"/>
  <c r="N7" i="1"/>
  <c r="N4" i="1"/>
  <c r="N9" i="1"/>
  <c r="N12" i="1"/>
  <c r="N6" i="1"/>
  <c r="N10" i="1"/>
  <c r="N8" i="20"/>
  <c r="N20" i="20"/>
  <c r="B20" i="20" s="1"/>
  <c r="N50" i="20"/>
  <c r="C50" i="20" s="1"/>
  <c r="N15" i="20"/>
  <c r="B15" i="20" s="1"/>
  <c r="N16" i="20"/>
  <c r="C16" i="20" s="1"/>
  <c r="N42" i="20"/>
  <c r="B42" i="20" s="1"/>
  <c r="N31" i="20"/>
  <c r="I31" i="20" s="1"/>
  <c r="N36" i="20"/>
  <c r="I36" i="20" s="1"/>
  <c r="N53" i="20"/>
  <c r="D53" i="20" s="1"/>
  <c r="N21" i="20"/>
  <c r="I21" i="20" s="1"/>
  <c r="N18" i="20"/>
  <c r="C18" i="20" s="1"/>
  <c r="N30" i="20"/>
  <c r="I30" i="20" s="1"/>
  <c r="N23" i="20"/>
  <c r="C23" i="20" s="1"/>
  <c r="N32" i="20"/>
  <c r="C32" i="20" s="1"/>
  <c r="N49" i="20"/>
  <c r="C49" i="20" s="1"/>
  <c r="N17" i="20"/>
  <c r="C17" i="20" s="1"/>
  <c r="N6" i="20"/>
  <c r="N46" i="20"/>
  <c r="B46" i="20" s="1"/>
  <c r="N22" i="20"/>
  <c r="I22" i="20" s="1"/>
  <c r="N44" i="20"/>
  <c r="C44" i="20" s="1"/>
  <c r="N28" i="20"/>
  <c r="I28" i="20" s="1"/>
  <c r="N12" i="20"/>
  <c r="I12" i="20" s="1"/>
  <c r="N45" i="20"/>
  <c r="D45" i="20" s="1"/>
  <c r="N29" i="20"/>
  <c r="I29" i="20" s="1"/>
  <c r="N13" i="20"/>
  <c r="I13" i="20" s="1"/>
  <c r="N34" i="20"/>
  <c r="D34" i="20" s="1"/>
  <c r="N51" i="20"/>
  <c r="C51" i="20" s="1"/>
  <c r="N19" i="20"/>
  <c r="D19" i="20" s="1"/>
  <c r="N47" i="20"/>
  <c r="I47" i="20" s="1"/>
  <c r="N38" i="20"/>
  <c r="I38" i="20" s="1"/>
  <c r="N10" i="20"/>
  <c r="N40" i="20"/>
  <c r="B40" i="20" s="1"/>
  <c r="N24" i="20"/>
  <c r="C24" i="20" s="1"/>
  <c r="N5" i="20"/>
  <c r="N41" i="20"/>
  <c r="C41" i="20" s="1"/>
  <c r="N25" i="20"/>
  <c r="C25" i="20" s="1"/>
  <c r="N4" i="20"/>
  <c r="N26" i="20"/>
  <c r="B26" i="20" s="1"/>
  <c r="N43" i="20"/>
  <c r="C43" i="20" s="1"/>
  <c r="N11" i="20"/>
  <c r="B11" i="20" s="1"/>
  <c r="N14" i="20"/>
  <c r="I14" i="20" s="1"/>
  <c r="N9" i="20"/>
  <c r="N39" i="20"/>
  <c r="I39" i="20" s="1"/>
  <c r="N37" i="1"/>
  <c r="C37" i="1" s="1"/>
  <c r="N50" i="1"/>
  <c r="I50" i="1" s="1"/>
  <c r="N51" i="1"/>
  <c r="D51" i="1" s="1"/>
  <c r="N49" i="1"/>
  <c r="D49" i="1" s="1"/>
  <c r="N28" i="1"/>
  <c r="I28" i="1" s="1"/>
  <c r="N42" i="1"/>
  <c r="D42" i="1" s="1"/>
  <c r="N16" i="1"/>
  <c r="D16" i="1" s="1"/>
  <c r="N29" i="1"/>
  <c r="I29" i="1" s="1"/>
  <c r="N38" i="1"/>
  <c r="I38" i="1" s="1"/>
  <c r="N17" i="1"/>
  <c r="D17" i="1" s="1"/>
  <c r="N39" i="1"/>
  <c r="C39" i="1" s="1"/>
  <c r="G30" i="16"/>
  <c r="N11" i="1"/>
  <c r="N48" i="1"/>
  <c r="D48" i="1" s="1"/>
  <c r="N27" i="1"/>
  <c r="D27" i="1" s="1"/>
  <c r="N18" i="1"/>
  <c r="D18" i="1" s="1"/>
  <c r="N40" i="1"/>
  <c r="I40" i="1" s="1"/>
  <c r="N19" i="1"/>
  <c r="C19" i="1" s="1"/>
  <c r="N22" i="1"/>
  <c r="D22" i="1" s="1"/>
  <c r="N33" i="1"/>
  <c r="D33" i="1" s="1"/>
  <c r="N44" i="1"/>
  <c r="D44" i="1" s="1"/>
  <c r="N8" i="1"/>
  <c r="N23" i="1"/>
  <c r="I23" i="1" s="1"/>
  <c r="J30" i="16"/>
  <c r="D30" i="16"/>
  <c r="F35" i="16"/>
  <c r="B34" i="16"/>
  <c r="C34" i="16"/>
  <c r="N26" i="1"/>
  <c r="N53" i="1"/>
  <c r="N21" i="1"/>
  <c r="N32" i="1"/>
  <c r="N43" i="1"/>
  <c r="N5" i="1"/>
  <c r="N34" i="1"/>
  <c r="N45" i="1"/>
  <c r="N13" i="1"/>
  <c r="N24" i="1"/>
  <c r="N35" i="1"/>
  <c r="N46" i="1"/>
  <c r="N30" i="1"/>
  <c r="N14" i="1"/>
  <c r="N41" i="1"/>
  <c r="N25" i="1"/>
  <c r="N52" i="1"/>
  <c r="N36" i="1"/>
  <c r="N20" i="1"/>
  <c r="N47" i="1"/>
  <c r="N31" i="1"/>
  <c r="N15" i="1"/>
  <c r="I35" i="20" l="1"/>
  <c r="B28" i="20"/>
  <c r="A28" i="20" s="1"/>
  <c r="D52" i="20"/>
  <c r="C42" i="20"/>
  <c r="I18" i="20"/>
  <c r="B27" i="20"/>
  <c r="A27" i="20" s="1"/>
  <c r="I20" i="20"/>
  <c r="I49" i="20"/>
  <c r="D18" i="20"/>
  <c r="C22" i="20"/>
  <c r="B49" i="20"/>
  <c r="A49" i="20" s="1"/>
  <c r="B16" i="20"/>
  <c r="O16" i="20" s="1"/>
  <c r="J16" i="20" s="1"/>
  <c r="C30" i="20"/>
  <c r="D50" i="20"/>
  <c r="C52" i="20"/>
  <c r="D35" i="20"/>
  <c r="D37" i="20"/>
  <c r="I37" i="20"/>
  <c r="C40" i="1"/>
  <c r="B53" i="20"/>
  <c r="A53" i="20" s="1"/>
  <c r="B31" i="20"/>
  <c r="O31" i="20" s="1"/>
  <c r="J31" i="20" s="1"/>
  <c r="B33" i="20"/>
  <c r="O33" i="20" s="1"/>
  <c r="J33" i="20" s="1"/>
  <c r="D23" i="20"/>
  <c r="I50" i="20"/>
  <c r="C53" i="20"/>
  <c r="I23" i="20"/>
  <c r="B32" i="20"/>
  <c r="A32" i="20" s="1"/>
  <c r="C40" i="20"/>
  <c r="I46" i="20"/>
  <c r="D48" i="20"/>
  <c r="I15" i="20"/>
  <c r="B29" i="20"/>
  <c r="O29" i="20" s="1"/>
  <c r="J29" i="20" s="1"/>
  <c r="D27" i="20"/>
  <c r="D33" i="20"/>
  <c r="D16" i="20"/>
  <c r="C48" i="20"/>
  <c r="I39" i="1"/>
  <c r="C16" i="1"/>
  <c r="C19" i="20"/>
  <c r="C22" i="1"/>
  <c r="C11" i="20"/>
  <c r="B44" i="1"/>
  <c r="O44" i="1" s="1"/>
  <c r="J44" i="1" s="1"/>
  <c r="D38" i="1"/>
  <c r="I27" i="1"/>
  <c r="C31" i="20"/>
  <c r="B17" i="20"/>
  <c r="O17" i="20" s="1"/>
  <c r="J17" i="20" s="1"/>
  <c r="C21" i="20"/>
  <c r="B36" i="20"/>
  <c r="A36" i="20" s="1"/>
  <c r="B25" i="20"/>
  <c r="A25" i="20" s="1"/>
  <c r="C38" i="20"/>
  <c r="C34" i="20"/>
  <c r="B12" i="20"/>
  <c r="O12" i="20" s="1"/>
  <c r="J12" i="20" s="1"/>
  <c r="I44" i="20"/>
  <c r="D28" i="1"/>
  <c r="C51" i="1"/>
  <c r="I37" i="1"/>
  <c r="D31" i="20"/>
  <c r="D46" i="20"/>
  <c r="I27" i="20"/>
  <c r="D17" i="20"/>
  <c r="I16" i="20"/>
  <c r="D32" i="20"/>
  <c r="B30" i="20"/>
  <c r="O30" i="20" s="1"/>
  <c r="J30" i="20" s="1"/>
  <c r="B35" i="20"/>
  <c r="A35" i="20" s="1"/>
  <c r="B50" i="20"/>
  <c r="O50" i="20" s="1"/>
  <c r="J50" i="20" s="1"/>
  <c r="B21" i="20"/>
  <c r="A21" i="20" s="1"/>
  <c r="C37" i="20"/>
  <c r="C36" i="20"/>
  <c r="B9" i="20"/>
  <c r="A9" i="20" s="1"/>
  <c r="C26" i="20"/>
  <c r="B5" i="20"/>
  <c r="O5" i="20" s="1"/>
  <c r="J5" i="20" s="1"/>
  <c r="B38" i="20"/>
  <c r="A38" i="20" s="1"/>
  <c r="B19" i="20"/>
  <c r="A19" i="20" s="1"/>
  <c r="B34" i="20"/>
  <c r="O34" i="20" s="1"/>
  <c r="J34" i="20" s="1"/>
  <c r="C29" i="20"/>
  <c r="C12" i="20"/>
  <c r="D44" i="20"/>
  <c r="D39" i="1"/>
  <c r="C28" i="1"/>
  <c r="C38" i="1"/>
  <c r="B51" i="1"/>
  <c r="O51" i="1" s="1"/>
  <c r="J51" i="1" s="1"/>
  <c r="B16" i="1"/>
  <c r="A16" i="1" s="1"/>
  <c r="B48" i="1"/>
  <c r="O48" i="1" s="1"/>
  <c r="J48" i="1" s="1"/>
  <c r="D37" i="1"/>
  <c r="I11" i="20"/>
  <c r="I26" i="20"/>
  <c r="D25" i="20"/>
  <c r="I40" i="20"/>
  <c r="D38" i="20"/>
  <c r="I19" i="20"/>
  <c r="I34" i="20"/>
  <c r="D29" i="20"/>
  <c r="D12" i="20"/>
  <c r="B44" i="20"/>
  <c r="A44" i="20" s="1"/>
  <c r="B23" i="1"/>
  <c r="A23" i="1" s="1"/>
  <c r="B22" i="1"/>
  <c r="A22" i="1" s="1"/>
  <c r="B40" i="1"/>
  <c r="O40" i="1" s="1"/>
  <c r="J40" i="1" s="1"/>
  <c r="C27" i="1"/>
  <c r="B24" i="20"/>
  <c r="A24" i="20" s="1"/>
  <c r="B29" i="1"/>
  <c r="O29" i="1" s="1"/>
  <c r="J29" i="1" s="1"/>
  <c r="D23" i="1"/>
  <c r="C44" i="1"/>
  <c r="B17" i="1"/>
  <c r="A17" i="1" s="1"/>
  <c r="C50" i="1"/>
  <c r="B42" i="1"/>
  <c r="A42" i="1" s="1"/>
  <c r="C46" i="20"/>
  <c r="I42" i="20"/>
  <c r="I17" i="20"/>
  <c r="I33" i="20"/>
  <c r="I32" i="20"/>
  <c r="I48" i="20"/>
  <c r="D15" i="20"/>
  <c r="D30" i="20"/>
  <c r="D21" i="20"/>
  <c r="D20" i="20"/>
  <c r="D36" i="20"/>
  <c r="B52" i="20"/>
  <c r="A52" i="20" s="1"/>
  <c r="C14" i="20"/>
  <c r="B13" i="20"/>
  <c r="O13" i="20" s="1"/>
  <c r="J13" i="20" s="1"/>
  <c r="C23" i="1"/>
  <c r="I44" i="1"/>
  <c r="B49" i="1"/>
  <c r="O49" i="1" s="1"/>
  <c r="J49" i="1" s="1"/>
  <c r="I22" i="1"/>
  <c r="D40" i="1"/>
  <c r="B50" i="1"/>
  <c r="A50" i="1" s="1"/>
  <c r="B27" i="1"/>
  <c r="A27" i="1" s="1"/>
  <c r="B11" i="1"/>
  <c r="O11" i="1" s="1"/>
  <c r="J11" i="1" s="1"/>
  <c r="B22" i="20"/>
  <c r="O22" i="20" s="1"/>
  <c r="J22" i="20" s="1"/>
  <c r="B6" i="20"/>
  <c r="A6" i="20" s="1"/>
  <c r="D42" i="20"/>
  <c r="D49" i="20"/>
  <c r="B23" i="20"/>
  <c r="O23" i="20" s="1"/>
  <c r="J23" i="20" s="1"/>
  <c r="C15" i="20"/>
  <c r="B18" i="20"/>
  <c r="A18" i="20" s="1"/>
  <c r="I53" i="20"/>
  <c r="C20" i="20"/>
  <c r="B4" i="20"/>
  <c r="O4" i="20" s="1"/>
  <c r="J4" i="20" s="1"/>
  <c r="C47" i="20"/>
  <c r="C45" i="20"/>
  <c r="B39" i="1"/>
  <c r="O39" i="1" s="1"/>
  <c r="J39" i="1" s="1"/>
  <c r="B28" i="1"/>
  <c r="A28" i="1" s="1"/>
  <c r="B38" i="1"/>
  <c r="O38" i="1" s="1"/>
  <c r="J38" i="1" s="1"/>
  <c r="I51" i="1"/>
  <c r="I16" i="1"/>
  <c r="B37" i="1"/>
  <c r="A37" i="1" s="1"/>
  <c r="D11" i="20"/>
  <c r="D26" i="20"/>
  <c r="I25" i="20"/>
  <c r="D40" i="20"/>
  <c r="B33" i="1"/>
  <c r="A33" i="1" s="1"/>
  <c r="B19" i="1"/>
  <c r="O19" i="1" s="1"/>
  <c r="J19" i="1" s="1"/>
  <c r="B18" i="1"/>
  <c r="A18" i="1" s="1"/>
  <c r="B39" i="20"/>
  <c r="O39" i="20" s="1"/>
  <c r="J39" i="20" s="1"/>
  <c r="B43" i="20"/>
  <c r="O43" i="20" s="1"/>
  <c r="J43" i="20" s="1"/>
  <c r="B41" i="20"/>
  <c r="O41" i="20" s="1"/>
  <c r="J41" i="20" s="1"/>
  <c r="D51" i="20"/>
  <c r="I17" i="1"/>
  <c r="C33" i="1"/>
  <c r="I49" i="1"/>
  <c r="D19" i="1"/>
  <c r="C29" i="1"/>
  <c r="C18" i="1"/>
  <c r="D50" i="1"/>
  <c r="C48" i="1"/>
  <c r="C42" i="1"/>
  <c r="D22" i="20"/>
  <c r="C39" i="20"/>
  <c r="B14" i="20"/>
  <c r="O14" i="20" s="1"/>
  <c r="J14" i="20" s="1"/>
  <c r="D43" i="20"/>
  <c r="D41" i="20"/>
  <c r="D24" i="20"/>
  <c r="B10" i="20"/>
  <c r="O10" i="20" s="1"/>
  <c r="J10" i="20" s="1"/>
  <c r="D47" i="20"/>
  <c r="I51" i="20"/>
  <c r="C13" i="20"/>
  <c r="B45" i="20"/>
  <c r="A45" i="20" s="1"/>
  <c r="C28" i="20"/>
  <c r="B10" i="1"/>
  <c r="D10" i="1" s="1"/>
  <c r="B9" i="1"/>
  <c r="C9" i="1" s="1"/>
  <c r="B7" i="20"/>
  <c r="D7" i="20" s="1"/>
  <c r="B8" i="20"/>
  <c r="D8" i="20" s="1"/>
  <c r="B6" i="1"/>
  <c r="D6" i="1" s="1"/>
  <c r="B12" i="1"/>
  <c r="C12" i="1" s="1"/>
  <c r="B4" i="1"/>
  <c r="B7" i="1"/>
  <c r="I7" i="1" s="1"/>
  <c r="B8" i="1"/>
  <c r="O8" i="1" s="1"/>
  <c r="J8" i="1" s="1"/>
  <c r="C17" i="1"/>
  <c r="I33" i="1"/>
  <c r="C49" i="1"/>
  <c r="I19" i="1"/>
  <c r="D29" i="1"/>
  <c r="I18" i="1"/>
  <c r="I48" i="1"/>
  <c r="I42" i="1"/>
  <c r="D39" i="20"/>
  <c r="D14" i="20"/>
  <c r="I43" i="20"/>
  <c r="I41" i="20"/>
  <c r="I24" i="20"/>
  <c r="B47" i="20"/>
  <c r="A47" i="20" s="1"/>
  <c r="B51" i="20"/>
  <c r="O51" i="20" s="1"/>
  <c r="J51" i="20" s="1"/>
  <c r="D13" i="20"/>
  <c r="I45" i="20"/>
  <c r="D28" i="20"/>
  <c r="D31" i="16"/>
  <c r="J31" i="16"/>
  <c r="A46" i="20"/>
  <c r="O46" i="20"/>
  <c r="J46" i="20" s="1"/>
  <c r="A42" i="20"/>
  <c r="O42" i="20"/>
  <c r="J42" i="20" s="1"/>
  <c r="A15" i="20"/>
  <c r="O15" i="20"/>
  <c r="J15" i="20" s="1"/>
  <c r="A37" i="20"/>
  <c r="O37" i="20"/>
  <c r="J37" i="20" s="1"/>
  <c r="A20" i="20"/>
  <c r="O20" i="20"/>
  <c r="J20" i="20" s="1"/>
  <c r="G31" i="16"/>
  <c r="A11" i="20"/>
  <c r="O11" i="20"/>
  <c r="J11" i="20" s="1"/>
  <c r="A26" i="20"/>
  <c r="O26" i="20"/>
  <c r="J26" i="20" s="1"/>
  <c r="O40" i="20"/>
  <c r="J40" i="20" s="1"/>
  <c r="A40" i="20"/>
  <c r="O48" i="20"/>
  <c r="J48" i="20" s="1"/>
  <c r="A48" i="20"/>
  <c r="I20" i="1"/>
  <c r="C20" i="1"/>
  <c r="D20" i="1"/>
  <c r="B20" i="1"/>
  <c r="I41" i="1"/>
  <c r="C41" i="1"/>
  <c r="D41" i="1"/>
  <c r="B41" i="1"/>
  <c r="C35" i="1"/>
  <c r="D35" i="1"/>
  <c r="I35" i="1"/>
  <c r="B35" i="1"/>
  <c r="D34" i="1"/>
  <c r="I34" i="1"/>
  <c r="C34" i="1"/>
  <c r="B34" i="1"/>
  <c r="D21" i="1"/>
  <c r="I21" i="1"/>
  <c r="C21" i="1"/>
  <c r="B21" i="1"/>
  <c r="C15" i="1"/>
  <c r="D15" i="1"/>
  <c r="I15" i="1"/>
  <c r="B15" i="1"/>
  <c r="C47" i="1"/>
  <c r="D47" i="1"/>
  <c r="I47" i="1"/>
  <c r="B47" i="1"/>
  <c r="I36" i="1"/>
  <c r="C36" i="1"/>
  <c r="D36" i="1"/>
  <c r="B36" i="1"/>
  <c r="I25" i="1"/>
  <c r="C25" i="1"/>
  <c r="D25" i="1"/>
  <c r="B25" i="1"/>
  <c r="B14" i="1"/>
  <c r="C14" i="1" s="1"/>
  <c r="I46" i="1"/>
  <c r="C46" i="1"/>
  <c r="D46" i="1"/>
  <c r="B46" i="1"/>
  <c r="I24" i="1"/>
  <c r="C24" i="1"/>
  <c r="D24" i="1"/>
  <c r="B24" i="1"/>
  <c r="I45" i="1"/>
  <c r="C45" i="1"/>
  <c r="D45" i="1"/>
  <c r="B45" i="1"/>
  <c r="B5" i="1"/>
  <c r="C5" i="1" s="1"/>
  <c r="D32" i="1"/>
  <c r="I32" i="1"/>
  <c r="C32" i="1"/>
  <c r="B32" i="1"/>
  <c r="D53" i="1"/>
  <c r="I53" i="1"/>
  <c r="B53" i="1"/>
  <c r="C53" i="1"/>
  <c r="C31" i="1"/>
  <c r="D31" i="1"/>
  <c r="I31" i="1"/>
  <c r="B31" i="1"/>
  <c r="I52" i="1"/>
  <c r="C52" i="1"/>
  <c r="D52" i="1"/>
  <c r="B52" i="1"/>
  <c r="I30" i="1"/>
  <c r="C30" i="1"/>
  <c r="D30" i="1"/>
  <c r="B30" i="1"/>
  <c r="B13" i="1"/>
  <c r="I13" i="1" s="1"/>
  <c r="I43" i="1"/>
  <c r="C43" i="1"/>
  <c r="D43" i="1"/>
  <c r="B43" i="1"/>
  <c r="I26" i="1"/>
  <c r="C26" i="1"/>
  <c r="D26" i="1"/>
  <c r="B26" i="1"/>
  <c r="C35" i="16"/>
  <c r="C36" i="16" s="1"/>
  <c r="C37" i="16" s="1"/>
  <c r="C38" i="16" s="1"/>
  <c r="C39" i="16" s="1"/>
  <c r="C40" i="16" s="1"/>
  <c r="C41" i="16" s="1"/>
  <c r="C42" i="16" s="1"/>
  <c r="C43" i="16" s="1"/>
  <c r="C44" i="16" s="1"/>
  <c r="C45" i="16" s="1"/>
  <c r="C46" i="16" s="1"/>
  <c r="C47" i="16" s="1"/>
  <c r="C48" i="16" s="1"/>
  <c r="C49" i="16" s="1"/>
  <c r="C50" i="16" s="1"/>
  <c r="C51" i="16" s="1"/>
  <c r="C52" i="16" s="1"/>
  <c r="C53" i="16" s="1"/>
  <c r="C54" i="16" s="1"/>
  <c r="C55" i="16" s="1"/>
  <c r="C56" i="16" s="1"/>
  <c r="C57" i="16" s="1"/>
  <c r="C58" i="16" s="1"/>
  <c r="C59" i="16" s="1"/>
  <c r="C60" i="16" s="1"/>
  <c r="C61" i="16" s="1"/>
  <c r="C62" i="16" s="1"/>
  <c r="C63" i="16" s="1"/>
  <c r="C64" i="16" s="1"/>
  <c r="C65" i="16" s="1"/>
  <c r="C66" i="16" s="1"/>
  <c r="C67" i="16" s="1"/>
  <c r="C68" i="16" s="1"/>
  <c r="C69" i="16" s="1"/>
  <c r="C70" i="16" s="1"/>
  <c r="C71" i="16" s="1"/>
  <c r="C72" i="16" s="1"/>
  <c r="C73" i="16" s="1"/>
  <c r="C74" i="16" s="1"/>
  <c r="C75" i="16" s="1"/>
  <c r="C76" i="16" s="1"/>
  <c r="C77" i="16" s="1"/>
  <c r="C78" i="16" s="1"/>
  <c r="C79" i="16" s="1"/>
  <c r="C80" i="16" s="1"/>
  <c r="C81" i="16" s="1"/>
  <c r="C82" i="16" s="1"/>
  <c r="C83" i="16" s="1"/>
  <c r="C84" i="16" s="1"/>
  <c r="C85" i="16" s="1"/>
  <c r="C86" i="16" s="1"/>
  <c r="C87" i="16" s="1"/>
  <c r="C88" i="16" s="1"/>
  <c r="C89" i="16" s="1"/>
  <c r="C90" i="16" s="1"/>
  <c r="C91" i="16" s="1"/>
  <c r="C92" i="16" s="1"/>
  <c r="C93" i="16" s="1"/>
  <c r="C94" i="16" s="1"/>
  <c r="C95" i="16" s="1"/>
  <c r="C96" i="16" s="1"/>
  <c r="C97" i="16" s="1"/>
  <c r="C98" i="16" s="1"/>
  <c r="C99" i="16" s="1"/>
  <c r="C100" i="16" s="1"/>
  <c r="C101" i="16" s="1"/>
  <c r="C102" i="16" s="1"/>
  <c r="C103" i="16" s="1"/>
  <c r="C104" i="16" s="1"/>
  <c r="C105" i="16" s="1"/>
  <c r="C106" i="16" s="1"/>
  <c r="C107" i="16" s="1"/>
  <c r="C108" i="16" s="1"/>
  <c r="C109" i="16" s="1"/>
  <c r="C110" i="16" s="1"/>
  <c r="C111" i="16" s="1"/>
  <c r="C112" i="16" s="1"/>
  <c r="C113" i="16" s="1"/>
  <c r="C114" i="16" s="1"/>
  <c r="C115" i="16" s="1"/>
  <c r="C116" i="16" s="1"/>
  <c r="C117" i="16" s="1"/>
  <c r="C118" i="16" s="1"/>
  <c r="C119" i="16" s="1"/>
  <c r="C120" i="16" s="1"/>
  <c r="C121" i="16" s="1"/>
  <c r="C122" i="16" s="1"/>
  <c r="C123" i="16" s="1"/>
  <c r="C124" i="16" s="1"/>
  <c r="C125" i="16" s="1"/>
  <c r="C126" i="16" s="1"/>
  <c r="C127" i="16" s="1"/>
  <c r="C128" i="16" s="1"/>
  <c r="C129" i="16" s="1"/>
  <c r="C130" i="16" s="1"/>
  <c r="C131" i="16" s="1"/>
  <c r="C132" i="16" s="1"/>
  <c r="C133" i="16" s="1"/>
  <c r="C134" i="16" s="1"/>
  <c r="C135" i="16" s="1"/>
  <c r="C136" i="16" s="1"/>
  <c r="C137" i="16" s="1"/>
  <c r="C138" i="16" s="1"/>
  <c r="C139" i="16" s="1"/>
  <c r="C140" i="16" s="1"/>
  <c r="C141" i="16" s="1"/>
  <c r="C142" i="16" s="1"/>
  <c r="C143" i="16" s="1"/>
  <c r="C144" i="16" s="1"/>
  <c r="C145" i="16" s="1"/>
  <c r="C146" i="16" s="1"/>
  <c r="C147" i="16" s="1"/>
  <c r="C148" i="16" s="1"/>
  <c r="C149" i="16" s="1"/>
  <c r="C150" i="16" s="1"/>
  <c r="C151" i="16" s="1"/>
  <c r="C152" i="16" s="1"/>
  <c r="C153" i="16" s="1"/>
  <c r="C154" i="16" s="1"/>
  <c r="C155" i="16" s="1"/>
  <c r="C156" i="16" s="1"/>
  <c r="C157" i="16" s="1"/>
  <c r="C158" i="16" s="1"/>
  <c r="C159" i="16" s="1"/>
  <c r="C160" i="16" s="1"/>
  <c r="C161" i="16" s="1"/>
  <c r="C162" i="16" s="1"/>
  <c r="C163" i="16" s="1"/>
  <c r="C164" i="16" s="1"/>
  <c r="C165" i="16" s="1"/>
  <c r="C166" i="16" s="1"/>
  <c r="C167" i="16" s="1"/>
  <c r="C168" i="16" s="1"/>
  <c r="C169" i="16" s="1"/>
  <c r="C170" i="16" s="1"/>
  <c r="C171" i="16" s="1"/>
  <c r="C172" i="16" s="1"/>
  <c r="C173" i="16" s="1"/>
  <c r="C174" i="16" s="1"/>
  <c r="C175" i="16" s="1"/>
  <c r="C176" i="16" s="1"/>
  <c r="C177" i="16" s="1"/>
  <c r="C178" i="16" s="1"/>
  <c r="C179" i="16" s="1"/>
  <c r="C180" i="16" s="1"/>
  <c r="C181" i="16" s="1"/>
  <c r="C182" i="16" s="1"/>
  <c r="C183" i="16" s="1"/>
  <c r="C184" i="16" s="1"/>
  <c r="C185" i="16" s="1"/>
  <c r="C186" i="16" s="1"/>
  <c r="C187" i="16" s="1"/>
  <c r="C188" i="16" s="1"/>
  <c r="C189" i="16" s="1"/>
  <c r="C190" i="16" s="1"/>
  <c r="C191" i="16" s="1"/>
  <c r="C192" i="16" s="1"/>
  <c r="C193" i="16" s="1"/>
  <c r="C194" i="16" s="1"/>
  <c r="C195" i="16" s="1"/>
  <c r="C196" i="16" s="1"/>
  <c r="C197" i="16" s="1"/>
  <c r="C198" i="16" s="1"/>
  <c r="C199" i="16" s="1"/>
  <c r="C200" i="16" s="1"/>
  <c r="C201" i="16" s="1"/>
  <c r="C202" i="16" s="1"/>
  <c r="B35" i="16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B162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F36" i="16"/>
  <c r="D14" i="1" l="1"/>
  <c r="I14" i="1"/>
  <c r="O28" i="20"/>
  <c r="J28" i="20" s="1"/>
  <c r="D13" i="1"/>
  <c r="D5" i="1"/>
  <c r="I5" i="1"/>
  <c r="D11" i="1"/>
  <c r="N12" i="17"/>
  <c r="I5" i="20"/>
  <c r="A16" i="20"/>
  <c r="D9" i="20"/>
  <c r="C9" i="20"/>
  <c r="D5" i="20"/>
  <c r="I4" i="20"/>
  <c r="I9" i="20"/>
  <c r="D6" i="20"/>
  <c r="D10" i="20"/>
  <c r="C10" i="20"/>
  <c r="I10" i="20"/>
  <c r="D4" i="20"/>
  <c r="I6" i="20"/>
  <c r="C6" i="20"/>
  <c r="C5" i="20"/>
  <c r="C4" i="20"/>
  <c r="C13" i="1"/>
  <c r="I8" i="1"/>
  <c r="C11" i="1"/>
  <c r="D8" i="1"/>
  <c r="C8" i="1"/>
  <c r="I11" i="1"/>
  <c r="A5" i="20"/>
  <c r="A12" i="20"/>
  <c r="O27" i="20"/>
  <c r="J27" i="20" s="1"/>
  <c r="O50" i="1"/>
  <c r="J50" i="1" s="1"/>
  <c r="A33" i="20"/>
  <c r="A29" i="20"/>
  <c r="A30" i="20"/>
  <c r="A51" i="20"/>
  <c r="O6" i="20"/>
  <c r="J6" i="20" s="1"/>
  <c r="O49" i="20"/>
  <c r="J49" i="20" s="1"/>
  <c r="A44" i="1"/>
  <c r="O53" i="20"/>
  <c r="J53" i="20" s="1"/>
  <c r="O25" i="20"/>
  <c r="J25" i="20" s="1"/>
  <c r="O27" i="1"/>
  <c r="J27" i="1" s="1"/>
  <c r="A40" i="1"/>
  <c r="O18" i="20"/>
  <c r="J18" i="20" s="1"/>
  <c r="A38" i="1"/>
  <c r="A48" i="1"/>
  <c r="O38" i="20"/>
  <c r="J38" i="20" s="1"/>
  <c r="O35" i="20"/>
  <c r="J35" i="20" s="1"/>
  <c r="A29" i="1"/>
  <c r="A19" i="1"/>
  <c r="A49" i="1"/>
  <c r="A41" i="20"/>
  <c r="O42" i="1"/>
  <c r="J42" i="1" s="1"/>
  <c r="A8" i="1"/>
  <c r="A11" i="1"/>
  <c r="O9" i="20"/>
  <c r="J9" i="20" s="1"/>
  <c r="O18" i="1"/>
  <c r="J18" i="1" s="1"/>
  <c r="O32" i="20"/>
  <c r="J32" i="20" s="1"/>
  <c r="O19" i="20"/>
  <c r="J19" i="20" s="1"/>
  <c r="A17" i="20"/>
  <c r="O52" i="20"/>
  <c r="J52" i="20" s="1"/>
  <c r="O44" i="20"/>
  <c r="J44" i="20" s="1"/>
  <c r="A14" i="20"/>
  <c r="A50" i="20"/>
  <c r="O23" i="1"/>
  <c r="J23" i="1" s="1"/>
  <c r="O47" i="20"/>
  <c r="J47" i="20" s="1"/>
  <c r="A10" i="20"/>
  <c r="O21" i="20"/>
  <c r="J21" i="20" s="1"/>
  <c r="A23" i="20"/>
  <c r="A31" i="20"/>
  <c r="O45" i="20"/>
  <c r="J45" i="20" s="1"/>
  <c r="A39" i="1"/>
  <c r="A39" i="20"/>
  <c r="A51" i="1"/>
  <c r="A34" i="20"/>
  <c r="A22" i="20"/>
  <c r="O16" i="1"/>
  <c r="J16" i="1" s="1"/>
  <c r="O33" i="1"/>
  <c r="J33" i="1" s="1"/>
  <c r="O28" i="1"/>
  <c r="J28" i="1" s="1"/>
  <c r="O36" i="20"/>
  <c r="J36" i="20" s="1"/>
  <c r="O37" i="1"/>
  <c r="J37" i="1" s="1"/>
  <c r="O22" i="1"/>
  <c r="J22" i="1" s="1"/>
  <c r="O17" i="1"/>
  <c r="J17" i="1" s="1"/>
  <c r="A13" i="20"/>
  <c r="O24" i="20"/>
  <c r="J24" i="20" s="1"/>
  <c r="A4" i="20"/>
  <c r="A43" i="20"/>
  <c r="C4" i="1"/>
  <c r="A4" i="1"/>
  <c r="I10" i="1"/>
  <c r="C10" i="1"/>
  <c r="D12" i="1"/>
  <c r="I12" i="1"/>
  <c r="I8" i="20"/>
  <c r="C8" i="20"/>
  <c r="D7" i="1"/>
  <c r="I9" i="1"/>
  <c r="C7" i="1"/>
  <c r="D9" i="1"/>
  <c r="C6" i="1"/>
  <c r="I6" i="1"/>
  <c r="I7" i="20"/>
  <c r="I4" i="1"/>
  <c r="D4" i="1"/>
  <c r="C7" i="20"/>
  <c r="O7" i="20"/>
  <c r="J7" i="20" s="1"/>
  <c r="A7" i="20"/>
  <c r="O9" i="1"/>
  <c r="J9" i="1" s="1"/>
  <c r="A9" i="1"/>
  <c r="A10" i="1"/>
  <c r="O10" i="1"/>
  <c r="J10" i="1" s="1"/>
  <c r="N4" i="18"/>
  <c r="N11" i="17"/>
  <c r="A7" i="1"/>
  <c r="O7" i="1"/>
  <c r="J7" i="1" s="1"/>
  <c r="O4" i="1"/>
  <c r="J4" i="1" s="1"/>
  <c r="A12" i="1"/>
  <c r="O12" i="1"/>
  <c r="J12" i="1" s="1"/>
  <c r="O6" i="1"/>
  <c r="J6" i="1" s="1"/>
  <c r="A6" i="1"/>
  <c r="O8" i="20"/>
  <c r="J8" i="20" s="1"/>
  <c r="A8" i="20"/>
  <c r="N12" i="18"/>
  <c r="B12" i="18" s="1"/>
  <c r="I12" i="18" s="1"/>
  <c r="N11" i="18"/>
  <c r="N6" i="18"/>
  <c r="N8" i="18"/>
  <c r="N5" i="18"/>
  <c r="N9" i="18"/>
  <c r="N44" i="18"/>
  <c r="I44" i="18" s="1"/>
  <c r="N25" i="18"/>
  <c r="D25" i="18" s="1"/>
  <c r="N35" i="18"/>
  <c r="C35" i="18" s="1"/>
  <c r="N53" i="18"/>
  <c r="B53" i="18" s="1"/>
  <c r="N31" i="18"/>
  <c r="B31" i="18" s="1"/>
  <c r="N36" i="18"/>
  <c r="D36" i="18" s="1"/>
  <c r="N30" i="18"/>
  <c r="I30" i="18" s="1"/>
  <c r="N47" i="18"/>
  <c r="C47" i="18" s="1"/>
  <c r="N18" i="18"/>
  <c r="C18" i="18" s="1"/>
  <c r="N40" i="18"/>
  <c r="C40" i="18" s="1"/>
  <c r="N21" i="18"/>
  <c r="B21" i="18" s="1"/>
  <c r="N14" i="18"/>
  <c r="N33" i="18"/>
  <c r="C33" i="18" s="1"/>
  <c r="N16" i="18"/>
  <c r="I16" i="18" s="1"/>
  <c r="G32" i="16"/>
  <c r="J32" i="16"/>
  <c r="D32" i="16"/>
  <c r="N52" i="17"/>
  <c r="C52" i="17" s="1"/>
  <c r="N20" i="17"/>
  <c r="I20" i="17" s="1"/>
  <c r="N37" i="17"/>
  <c r="B37" i="17" s="1"/>
  <c r="N50" i="17"/>
  <c r="B50" i="17" s="1"/>
  <c r="N35" i="17"/>
  <c r="D35" i="17" s="1"/>
  <c r="N31" i="17"/>
  <c r="I31" i="17" s="1"/>
  <c r="N40" i="17"/>
  <c r="I40" i="17" s="1"/>
  <c r="N7" i="17"/>
  <c r="N25" i="17"/>
  <c r="I25" i="17" s="1"/>
  <c r="N26" i="17"/>
  <c r="I26" i="17" s="1"/>
  <c r="N9" i="17"/>
  <c r="B9" i="17" s="1"/>
  <c r="N23" i="17"/>
  <c r="I23" i="17" s="1"/>
  <c r="N44" i="17"/>
  <c r="B44" i="17" s="1"/>
  <c r="N10" i="17"/>
  <c r="N29" i="17"/>
  <c r="B29" i="17" s="1"/>
  <c r="N34" i="17"/>
  <c r="D34" i="17" s="1"/>
  <c r="N19" i="17"/>
  <c r="D19" i="17" s="1"/>
  <c r="N38" i="17"/>
  <c r="D38" i="17" s="1"/>
  <c r="N32" i="17"/>
  <c r="D32" i="17" s="1"/>
  <c r="N33" i="17"/>
  <c r="C33" i="17" s="1"/>
  <c r="N27" i="17"/>
  <c r="B27" i="17" s="1"/>
  <c r="N36" i="17"/>
  <c r="C36" i="17" s="1"/>
  <c r="N53" i="17"/>
  <c r="C53" i="17" s="1"/>
  <c r="N21" i="17"/>
  <c r="C21" i="17" s="1"/>
  <c r="N18" i="17"/>
  <c r="N46" i="17"/>
  <c r="C46" i="17" s="1"/>
  <c r="N22" i="17"/>
  <c r="C22" i="17" s="1"/>
  <c r="N24" i="17"/>
  <c r="C24" i="17" s="1"/>
  <c r="N41" i="17"/>
  <c r="D41" i="17" s="1"/>
  <c r="N4" i="17"/>
  <c r="N43" i="17"/>
  <c r="B43" i="17" s="1"/>
  <c r="N47" i="17"/>
  <c r="D47" i="17" s="1"/>
  <c r="N5" i="17"/>
  <c r="N28" i="17"/>
  <c r="C28" i="17" s="1"/>
  <c r="N45" i="17"/>
  <c r="I45" i="17" s="1"/>
  <c r="N13" i="17"/>
  <c r="N51" i="17"/>
  <c r="C51" i="17" s="1"/>
  <c r="N14" i="17"/>
  <c r="N48" i="17"/>
  <c r="C48" i="17" s="1"/>
  <c r="N16" i="17"/>
  <c r="N42" i="17"/>
  <c r="D42" i="17" s="1"/>
  <c r="N15" i="17"/>
  <c r="N27" i="18"/>
  <c r="C27" i="18" s="1"/>
  <c r="N28" i="18"/>
  <c r="B28" i="18" s="1"/>
  <c r="N41" i="18"/>
  <c r="C41" i="18" s="1"/>
  <c r="N50" i="18"/>
  <c r="C50" i="18" s="1"/>
  <c r="N23" i="18"/>
  <c r="I23" i="18" s="1"/>
  <c r="N43" i="18"/>
  <c r="C43" i="18" s="1"/>
  <c r="N24" i="18"/>
  <c r="I24" i="18" s="1"/>
  <c r="N37" i="18"/>
  <c r="B37" i="18" s="1"/>
  <c r="N26" i="18"/>
  <c r="I26" i="18" s="1"/>
  <c r="N46" i="18"/>
  <c r="C46" i="18" s="1"/>
  <c r="N52" i="18"/>
  <c r="I52" i="18" s="1"/>
  <c r="N20" i="18"/>
  <c r="C20" i="18" s="1"/>
  <c r="N34" i="18"/>
  <c r="C34" i="18" s="1"/>
  <c r="N48" i="18"/>
  <c r="D48" i="18" s="1"/>
  <c r="N29" i="18"/>
  <c r="B29" i="18" s="1"/>
  <c r="N51" i="18"/>
  <c r="C51" i="18" s="1"/>
  <c r="F37" i="16"/>
  <c r="O26" i="1"/>
  <c r="J26" i="1" s="1"/>
  <c r="A26" i="1"/>
  <c r="O43" i="1"/>
  <c r="J43" i="1" s="1"/>
  <c r="A43" i="1"/>
  <c r="O13" i="1"/>
  <c r="J13" i="1" s="1"/>
  <c r="A13" i="1"/>
  <c r="O30" i="1"/>
  <c r="J30" i="1" s="1"/>
  <c r="A30" i="1"/>
  <c r="O52" i="1"/>
  <c r="J52" i="1" s="1"/>
  <c r="A52" i="1"/>
  <c r="O31" i="1"/>
  <c r="J31" i="1" s="1"/>
  <c r="A31" i="1"/>
  <c r="O53" i="1"/>
  <c r="J53" i="1" s="1"/>
  <c r="A53" i="1"/>
  <c r="N49" i="18"/>
  <c r="N17" i="18"/>
  <c r="N39" i="18"/>
  <c r="N38" i="18"/>
  <c r="N32" i="18"/>
  <c r="N45" i="18"/>
  <c r="N42" i="18"/>
  <c r="N15" i="18"/>
  <c r="N19" i="18"/>
  <c r="N13" i="18"/>
  <c r="O32" i="1"/>
  <c r="J32" i="1" s="1"/>
  <c r="A32" i="1"/>
  <c r="O5" i="1"/>
  <c r="J5" i="1" s="1"/>
  <c r="A5" i="1"/>
  <c r="O45" i="1"/>
  <c r="J45" i="1" s="1"/>
  <c r="A45" i="1"/>
  <c r="O24" i="1"/>
  <c r="J24" i="1" s="1"/>
  <c r="A24" i="1"/>
  <c r="O46" i="1"/>
  <c r="J46" i="1" s="1"/>
  <c r="A46" i="1"/>
  <c r="O14" i="1"/>
  <c r="J14" i="1" s="1"/>
  <c r="A14" i="1"/>
  <c r="O25" i="1"/>
  <c r="J25" i="1" s="1"/>
  <c r="A25" i="1"/>
  <c r="O36" i="1"/>
  <c r="J36" i="1" s="1"/>
  <c r="A36" i="1"/>
  <c r="O47" i="1"/>
  <c r="J47" i="1" s="1"/>
  <c r="A47" i="1"/>
  <c r="O15" i="1"/>
  <c r="J15" i="1" s="1"/>
  <c r="A15" i="1"/>
  <c r="O21" i="1"/>
  <c r="J21" i="1" s="1"/>
  <c r="A21" i="1"/>
  <c r="O34" i="1"/>
  <c r="J34" i="1" s="1"/>
  <c r="A34" i="1"/>
  <c r="O35" i="1"/>
  <c r="J35" i="1" s="1"/>
  <c r="A35" i="1"/>
  <c r="O41" i="1"/>
  <c r="J41" i="1" s="1"/>
  <c r="A41" i="1"/>
  <c r="O20" i="1"/>
  <c r="J20" i="1" s="1"/>
  <c r="A20" i="1"/>
  <c r="N49" i="17"/>
  <c r="N17" i="17"/>
  <c r="N8" i="17"/>
  <c r="N30" i="17"/>
  <c r="N39" i="17"/>
  <c r="N6" i="17"/>
  <c r="B33" i="17" l="1"/>
  <c r="D53" i="18"/>
  <c r="B33" i="18"/>
  <c r="A33" i="18" s="1"/>
  <c r="I18" i="17"/>
  <c r="I19" i="17"/>
  <c r="I35" i="17"/>
  <c r="D47" i="18"/>
  <c r="D52" i="17"/>
  <c r="C37" i="17"/>
  <c r="B40" i="18"/>
  <c r="O40" i="18" s="1"/>
  <c r="J40" i="18" s="1"/>
  <c r="C40" i="17"/>
  <c r="C36" i="18"/>
  <c r="C25" i="18"/>
  <c r="B16" i="18"/>
  <c r="O16" i="18" s="1"/>
  <c r="J16" i="18" s="1"/>
  <c r="B47" i="18"/>
  <c r="O47" i="18" s="1"/>
  <c r="J47" i="18" s="1"/>
  <c r="I44" i="17"/>
  <c r="C35" i="17"/>
  <c r="I52" i="17"/>
  <c r="I53" i="18"/>
  <c r="I47" i="18"/>
  <c r="B25" i="17"/>
  <c r="O25" i="17" s="1"/>
  <c r="J25" i="17" s="1"/>
  <c r="B35" i="17"/>
  <c r="A35" i="17" s="1"/>
  <c r="B52" i="17"/>
  <c r="O52" i="17" s="1"/>
  <c r="J52" i="17" s="1"/>
  <c r="B14" i="18"/>
  <c r="O14" i="18" s="1"/>
  <c r="J14" i="18" s="1"/>
  <c r="C53" i="18"/>
  <c r="D25" i="17"/>
  <c r="I21" i="18"/>
  <c r="B30" i="18"/>
  <c r="O30" i="18" s="1"/>
  <c r="J30" i="18" s="1"/>
  <c r="B23" i="17"/>
  <c r="O23" i="17" s="1"/>
  <c r="J23" i="17" s="1"/>
  <c r="C50" i="17"/>
  <c r="D35" i="18"/>
  <c r="D30" i="18"/>
  <c r="B7" i="17"/>
  <c r="O7" i="17" s="1"/>
  <c r="J7" i="17" s="1"/>
  <c r="C16" i="18"/>
  <c r="I32" i="17"/>
  <c r="D9" i="17"/>
  <c r="D40" i="17"/>
  <c r="D37" i="17"/>
  <c r="I36" i="18"/>
  <c r="I40" i="18"/>
  <c r="B25" i="18"/>
  <c r="O25" i="18" s="1"/>
  <c r="J25" i="18" s="1"/>
  <c r="D16" i="18"/>
  <c r="I9" i="17"/>
  <c r="B40" i="17"/>
  <c r="A40" i="17" s="1"/>
  <c r="I37" i="17"/>
  <c r="B36" i="18"/>
  <c r="O36" i="18" s="1"/>
  <c r="J36" i="18" s="1"/>
  <c r="D40" i="18"/>
  <c r="I25" i="18"/>
  <c r="D48" i="17"/>
  <c r="B34" i="18"/>
  <c r="O34" i="18" s="1"/>
  <c r="J34" i="18" s="1"/>
  <c r="B53" i="17"/>
  <c r="O53" i="17" s="1"/>
  <c r="J53" i="17" s="1"/>
  <c r="D33" i="18"/>
  <c r="C20" i="17"/>
  <c r="D18" i="18"/>
  <c r="I31" i="18"/>
  <c r="B44" i="18"/>
  <c r="A44" i="18" s="1"/>
  <c r="D36" i="17"/>
  <c r="B38" i="17"/>
  <c r="A38" i="17" s="1"/>
  <c r="I42" i="17"/>
  <c r="B23" i="18"/>
  <c r="A23" i="18" s="1"/>
  <c r="C29" i="17"/>
  <c r="D43" i="17"/>
  <c r="B26" i="18"/>
  <c r="A26" i="18" s="1"/>
  <c r="I27" i="18"/>
  <c r="C32" i="17"/>
  <c r="B19" i="17"/>
  <c r="O19" i="17" s="1"/>
  <c r="J19" i="17" s="1"/>
  <c r="D29" i="17"/>
  <c r="C44" i="17"/>
  <c r="C9" i="17"/>
  <c r="C25" i="17"/>
  <c r="I51" i="17"/>
  <c r="D22" i="17"/>
  <c r="C29" i="18"/>
  <c r="C52" i="18"/>
  <c r="B24" i="18"/>
  <c r="O24" i="18" s="1"/>
  <c r="J24" i="18" s="1"/>
  <c r="B41" i="18"/>
  <c r="A41" i="18" s="1"/>
  <c r="D27" i="17"/>
  <c r="B45" i="17"/>
  <c r="A45" i="17" s="1"/>
  <c r="I41" i="17"/>
  <c r="B18" i="17"/>
  <c r="A18" i="17" s="1"/>
  <c r="B20" i="18"/>
  <c r="A20" i="18" s="1"/>
  <c r="C30" i="18"/>
  <c r="I33" i="18"/>
  <c r="D50" i="18"/>
  <c r="B10" i="17"/>
  <c r="A10" i="17" s="1"/>
  <c r="C26" i="17"/>
  <c r="B31" i="17"/>
  <c r="A31" i="17" s="1"/>
  <c r="D20" i="17"/>
  <c r="C31" i="18"/>
  <c r="C21" i="18"/>
  <c r="I35" i="18"/>
  <c r="B18" i="18"/>
  <c r="O18" i="18" s="1"/>
  <c r="J18" i="18" s="1"/>
  <c r="C44" i="18"/>
  <c r="I29" i="18"/>
  <c r="D34" i="18"/>
  <c r="B52" i="18"/>
  <c r="O52" i="18" s="1"/>
  <c r="J52" i="18" s="1"/>
  <c r="D26" i="18"/>
  <c r="D24" i="18"/>
  <c r="D23" i="18"/>
  <c r="D41" i="18"/>
  <c r="D27" i="18"/>
  <c r="C27" i="17"/>
  <c r="C42" i="17"/>
  <c r="B48" i="17"/>
  <c r="A48" i="17" s="1"/>
  <c r="B51" i="17"/>
  <c r="O51" i="17" s="1"/>
  <c r="J51" i="17" s="1"/>
  <c r="D45" i="17"/>
  <c r="C43" i="17"/>
  <c r="C41" i="17"/>
  <c r="I22" i="17"/>
  <c r="D18" i="17"/>
  <c r="I53" i="17"/>
  <c r="D29" i="18"/>
  <c r="I34" i="18"/>
  <c r="D52" i="18"/>
  <c r="C26" i="18"/>
  <c r="C24" i="18"/>
  <c r="C23" i="18"/>
  <c r="I41" i="18"/>
  <c r="B27" i="18"/>
  <c r="A27" i="18" s="1"/>
  <c r="B32" i="17"/>
  <c r="A32" i="17" s="1"/>
  <c r="C19" i="17"/>
  <c r="I29" i="17"/>
  <c r="D44" i="17"/>
  <c r="I27" i="17"/>
  <c r="B42" i="17"/>
  <c r="O42" i="17" s="1"/>
  <c r="J42" i="17" s="1"/>
  <c r="I48" i="17"/>
  <c r="D51" i="17"/>
  <c r="C45" i="17"/>
  <c r="B5" i="17"/>
  <c r="I5" i="17" s="1"/>
  <c r="I43" i="17"/>
  <c r="B41" i="17"/>
  <c r="O41" i="17" s="1"/>
  <c r="J41" i="17" s="1"/>
  <c r="B22" i="17"/>
  <c r="A22" i="17" s="1"/>
  <c r="C18" i="17"/>
  <c r="D53" i="17"/>
  <c r="D51" i="18"/>
  <c r="C37" i="18"/>
  <c r="D28" i="17"/>
  <c r="D46" i="17"/>
  <c r="B48" i="18"/>
  <c r="O48" i="18" s="1"/>
  <c r="J48" i="18" s="1"/>
  <c r="B46" i="18"/>
  <c r="O46" i="18" s="1"/>
  <c r="J46" i="18" s="1"/>
  <c r="I43" i="18"/>
  <c r="D28" i="18"/>
  <c r="B34" i="17"/>
  <c r="O34" i="17" s="1"/>
  <c r="J34" i="17" s="1"/>
  <c r="D23" i="17"/>
  <c r="B26" i="17"/>
  <c r="O26" i="17" s="1"/>
  <c r="J26" i="17" s="1"/>
  <c r="D31" i="17"/>
  <c r="I50" i="17"/>
  <c r="B20" i="17"/>
  <c r="A20" i="17" s="1"/>
  <c r="D31" i="18"/>
  <c r="D21" i="18"/>
  <c r="B35" i="18"/>
  <c r="A35" i="18" s="1"/>
  <c r="I18" i="18"/>
  <c r="D44" i="18"/>
  <c r="I47" i="17"/>
  <c r="D24" i="17"/>
  <c r="B21" i="17"/>
  <c r="A21" i="17" s="1"/>
  <c r="I51" i="18"/>
  <c r="C48" i="18"/>
  <c r="D20" i="18"/>
  <c r="I46" i="18"/>
  <c r="I37" i="18"/>
  <c r="D43" i="18"/>
  <c r="I50" i="18"/>
  <c r="I28" i="18"/>
  <c r="C38" i="17"/>
  <c r="C34" i="17"/>
  <c r="B15" i="17"/>
  <c r="O15" i="17" s="1"/>
  <c r="J15" i="17" s="1"/>
  <c r="I33" i="17"/>
  <c r="B13" i="17"/>
  <c r="O13" i="17" s="1"/>
  <c r="J13" i="17" s="1"/>
  <c r="I28" i="17"/>
  <c r="B47" i="17"/>
  <c r="O47" i="17" s="1"/>
  <c r="J47" i="17" s="1"/>
  <c r="I24" i="17"/>
  <c r="I46" i="17"/>
  <c r="D21" i="17"/>
  <c r="B36" i="17"/>
  <c r="O36" i="17" s="1"/>
  <c r="J36" i="17" s="1"/>
  <c r="B51" i="18"/>
  <c r="A51" i="18" s="1"/>
  <c r="I48" i="18"/>
  <c r="I20" i="18"/>
  <c r="D46" i="18"/>
  <c r="D37" i="18"/>
  <c r="B43" i="18"/>
  <c r="A43" i="18" s="1"/>
  <c r="B50" i="18"/>
  <c r="A50" i="18" s="1"/>
  <c r="C28" i="18"/>
  <c r="I38" i="17"/>
  <c r="I34" i="17"/>
  <c r="C23" i="17"/>
  <c r="D26" i="17"/>
  <c r="C31" i="17"/>
  <c r="D50" i="17"/>
  <c r="I15" i="17"/>
  <c r="D33" i="17"/>
  <c r="B16" i="17"/>
  <c r="O16" i="17" s="1"/>
  <c r="J16" i="17" s="1"/>
  <c r="B14" i="17"/>
  <c r="O14" i="17" s="1"/>
  <c r="J14" i="17" s="1"/>
  <c r="B28" i="17"/>
  <c r="A28" i="17" s="1"/>
  <c r="C47" i="17"/>
  <c r="B4" i="17"/>
  <c r="O4" i="17" s="1"/>
  <c r="J4" i="17" s="1"/>
  <c r="B24" i="17"/>
  <c r="A24" i="17" s="1"/>
  <c r="B46" i="17"/>
  <c r="O46" i="17" s="1"/>
  <c r="J46" i="17" s="1"/>
  <c r="I21" i="17"/>
  <c r="I36" i="17"/>
  <c r="B5" i="18"/>
  <c r="I5" i="18" s="1"/>
  <c r="B6" i="18"/>
  <c r="D6" i="18" s="1"/>
  <c r="B11" i="17"/>
  <c r="C11" i="17" s="1"/>
  <c r="B9" i="18"/>
  <c r="I9" i="18" s="1"/>
  <c r="B8" i="18"/>
  <c r="D8" i="18" s="1"/>
  <c r="B11" i="18"/>
  <c r="I11" i="18" s="1"/>
  <c r="B4" i="18"/>
  <c r="D4" i="18" s="1"/>
  <c r="C12" i="18"/>
  <c r="D12" i="18"/>
  <c r="D33" i="16"/>
  <c r="J33" i="16"/>
  <c r="J34" i="16" s="1"/>
  <c r="J35" i="16" s="1"/>
  <c r="J36" i="16" s="1"/>
  <c r="J37" i="16" s="1"/>
  <c r="J38" i="16" s="1"/>
  <c r="J39" i="16" s="1"/>
  <c r="J40" i="16" s="1"/>
  <c r="J41" i="16" s="1"/>
  <c r="J42" i="16" s="1"/>
  <c r="J43" i="16" s="1"/>
  <c r="J44" i="16" s="1"/>
  <c r="J45" i="16" s="1"/>
  <c r="J46" i="16" s="1"/>
  <c r="J47" i="16" s="1"/>
  <c r="J48" i="16" s="1"/>
  <c r="J49" i="16" s="1"/>
  <c r="J50" i="16" s="1"/>
  <c r="J51" i="16" s="1"/>
  <c r="J52" i="16" s="1"/>
  <c r="J53" i="16" s="1"/>
  <c r="J54" i="16" s="1"/>
  <c r="J55" i="16" s="1"/>
  <c r="J56" i="16" s="1"/>
  <c r="J57" i="16" s="1"/>
  <c r="J58" i="16" s="1"/>
  <c r="J59" i="16" s="1"/>
  <c r="J60" i="16" s="1"/>
  <c r="J61" i="16" s="1"/>
  <c r="J62" i="16" s="1"/>
  <c r="J63" i="16" s="1"/>
  <c r="J64" i="16" s="1"/>
  <c r="J65" i="16" s="1"/>
  <c r="J66" i="16" s="1"/>
  <c r="J67" i="16" s="1"/>
  <c r="J68" i="16" s="1"/>
  <c r="J69" i="16" s="1"/>
  <c r="J70" i="16" s="1"/>
  <c r="J71" i="16" s="1"/>
  <c r="J72" i="16" s="1"/>
  <c r="J73" i="16" s="1"/>
  <c r="J74" i="16" s="1"/>
  <c r="J75" i="16" s="1"/>
  <c r="J76" i="16" s="1"/>
  <c r="J77" i="16" s="1"/>
  <c r="J78" i="16" s="1"/>
  <c r="J79" i="16" s="1"/>
  <c r="J80" i="16" s="1"/>
  <c r="J81" i="16" s="1"/>
  <c r="J82" i="16" s="1"/>
  <c r="J83" i="16" s="1"/>
  <c r="J84" i="16" s="1"/>
  <c r="J85" i="16" s="1"/>
  <c r="J86" i="16" s="1"/>
  <c r="J87" i="16" s="1"/>
  <c r="J88" i="16" s="1"/>
  <c r="J89" i="16" s="1"/>
  <c r="J90" i="16" s="1"/>
  <c r="J91" i="16" s="1"/>
  <c r="J92" i="16" s="1"/>
  <c r="J93" i="16" s="1"/>
  <c r="J94" i="16" s="1"/>
  <c r="J95" i="16" s="1"/>
  <c r="J96" i="16" s="1"/>
  <c r="J97" i="16" s="1"/>
  <c r="J98" i="16" s="1"/>
  <c r="J99" i="16" s="1"/>
  <c r="J100" i="16" s="1"/>
  <c r="J101" i="16" s="1"/>
  <c r="J102" i="16" s="1"/>
  <c r="J103" i="16" s="1"/>
  <c r="J104" i="16" s="1"/>
  <c r="J105" i="16" s="1"/>
  <c r="J106" i="16" s="1"/>
  <c r="J107" i="16" s="1"/>
  <c r="J108" i="16" s="1"/>
  <c r="J109" i="16" s="1"/>
  <c r="J110" i="16" s="1"/>
  <c r="J111" i="16" s="1"/>
  <c r="J112" i="16" s="1"/>
  <c r="J113" i="16" s="1"/>
  <c r="J114" i="16" s="1"/>
  <c r="J115" i="16" s="1"/>
  <c r="J116" i="16" s="1"/>
  <c r="J117" i="16" s="1"/>
  <c r="J118" i="16" s="1"/>
  <c r="J119" i="16" s="1"/>
  <c r="J120" i="16" s="1"/>
  <c r="J121" i="16" s="1"/>
  <c r="J122" i="16" s="1"/>
  <c r="J123" i="16" s="1"/>
  <c r="J124" i="16" s="1"/>
  <c r="J125" i="16" s="1"/>
  <c r="J126" i="16" s="1"/>
  <c r="J127" i="16" s="1"/>
  <c r="J128" i="16" s="1"/>
  <c r="J129" i="16" s="1"/>
  <c r="J130" i="16" s="1"/>
  <c r="J131" i="16" s="1"/>
  <c r="J132" i="16" s="1"/>
  <c r="J133" i="16" s="1"/>
  <c r="J134" i="16" s="1"/>
  <c r="J135" i="16" s="1"/>
  <c r="J136" i="16" s="1"/>
  <c r="J137" i="16" s="1"/>
  <c r="J138" i="16" s="1"/>
  <c r="J139" i="16" s="1"/>
  <c r="J140" i="16" s="1"/>
  <c r="J141" i="16" s="1"/>
  <c r="J142" i="16" s="1"/>
  <c r="J143" i="16" s="1"/>
  <c r="J144" i="16" s="1"/>
  <c r="J145" i="16" s="1"/>
  <c r="J146" i="16" s="1"/>
  <c r="J147" i="16" s="1"/>
  <c r="J148" i="16" s="1"/>
  <c r="J149" i="16" s="1"/>
  <c r="J150" i="16" s="1"/>
  <c r="J151" i="16" s="1"/>
  <c r="J152" i="16" s="1"/>
  <c r="J153" i="16" s="1"/>
  <c r="J154" i="16" s="1"/>
  <c r="J155" i="16" s="1"/>
  <c r="J156" i="16" s="1"/>
  <c r="J157" i="16" s="1"/>
  <c r="J158" i="16" s="1"/>
  <c r="J159" i="16" s="1"/>
  <c r="J160" i="16" s="1"/>
  <c r="J161" i="16" s="1"/>
  <c r="J162" i="16" s="1"/>
  <c r="J163" i="16" s="1"/>
  <c r="J164" i="16" s="1"/>
  <c r="J165" i="16" s="1"/>
  <c r="J166" i="16" s="1"/>
  <c r="J167" i="16" s="1"/>
  <c r="J168" i="16" s="1"/>
  <c r="J169" i="16" s="1"/>
  <c r="J170" i="16" s="1"/>
  <c r="J171" i="16" s="1"/>
  <c r="J172" i="16" s="1"/>
  <c r="J173" i="16" s="1"/>
  <c r="J174" i="16" s="1"/>
  <c r="J175" i="16" s="1"/>
  <c r="J176" i="16" s="1"/>
  <c r="J177" i="16" s="1"/>
  <c r="J178" i="16" s="1"/>
  <c r="J179" i="16" s="1"/>
  <c r="J180" i="16" s="1"/>
  <c r="J181" i="16" s="1"/>
  <c r="J182" i="16" s="1"/>
  <c r="J183" i="16" s="1"/>
  <c r="J184" i="16" s="1"/>
  <c r="J185" i="16" s="1"/>
  <c r="J186" i="16" s="1"/>
  <c r="J187" i="16" s="1"/>
  <c r="J188" i="16" s="1"/>
  <c r="J189" i="16" s="1"/>
  <c r="J190" i="16" s="1"/>
  <c r="J191" i="16" s="1"/>
  <c r="J192" i="16" s="1"/>
  <c r="J193" i="16" s="1"/>
  <c r="J194" i="16" s="1"/>
  <c r="J195" i="16" s="1"/>
  <c r="J196" i="16" s="1"/>
  <c r="J197" i="16" s="1"/>
  <c r="J198" i="16" s="1"/>
  <c r="J199" i="16" s="1"/>
  <c r="J200" i="16" s="1"/>
  <c r="J201" i="16" s="1"/>
  <c r="J202" i="16" s="1"/>
  <c r="G33" i="16"/>
  <c r="B6" i="17"/>
  <c r="D6" i="17" s="1"/>
  <c r="B17" i="17"/>
  <c r="I17" i="17" s="1"/>
  <c r="C17" i="17"/>
  <c r="O29" i="18"/>
  <c r="J29" i="18" s="1"/>
  <c r="A29" i="18"/>
  <c r="A37" i="18"/>
  <c r="O37" i="18"/>
  <c r="J37" i="18" s="1"/>
  <c r="A28" i="18"/>
  <c r="O28" i="18"/>
  <c r="J28" i="18" s="1"/>
  <c r="A44" i="17"/>
  <c r="O44" i="17"/>
  <c r="J44" i="17" s="1"/>
  <c r="O9" i="17"/>
  <c r="J9" i="17" s="1"/>
  <c r="A9" i="17"/>
  <c r="A50" i="17"/>
  <c r="O50" i="17"/>
  <c r="J50" i="17" s="1"/>
  <c r="B19" i="18"/>
  <c r="I19" i="18"/>
  <c r="D19" i="18"/>
  <c r="C19" i="18"/>
  <c r="B42" i="18"/>
  <c r="I42" i="18"/>
  <c r="D42" i="18"/>
  <c r="C42" i="18"/>
  <c r="I32" i="18"/>
  <c r="D32" i="18"/>
  <c r="C32" i="18"/>
  <c r="B32" i="18"/>
  <c r="I39" i="18"/>
  <c r="D39" i="18"/>
  <c r="B39" i="18"/>
  <c r="C39" i="18"/>
  <c r="C49" i="18"/>
  <c r="I49" i="18"/>
  <c r="B49" i="18"/>
  <c r="D49" i="18"/>
  <c r="O31" i="18"/>
  <c r="J31" i="18" s="1"/>
  <c r="A31" i="18"/>
  <c r="A21" i="18"/>
  <c r="O21" i="18"/>
  <c r="J21" i="18" s="1"/>
  <c r="O12" i="18"/>
  <c r="J12" i="18" s="1"/>
  <c r="A12" i="18"/>
  <c r="A27" i="17"/>
  <c r="O27" i="17"/>
  <c r="J27" i="17" s="1"/>
  <c r="A33" i="17"/>
  <c r="O33" i="17"/>
  <c r="J33" i="17" s="1"/>
  <c r="A43" i="17"/>
  <c r="O43" i="17"/>
  <c r="J43" i="17" s="1"/>
  <c r="F38" i="16"/>
  <c r="B30" i="17"/>
  <c r="I30" i="17"/>
  <c r="D30" i="17"/>
  <c r="C30" i="17"/>
  <c r="I39" i="17"/>
  <c r="D39" i="17"/>
  <c r="C39" i="17"/>
  <c r="B39" i="17"/>
  <c r="B8" i="17"/>
  <c r="I8" i="17" s="1"/>
  <c r="C49" i="17"/>
  <c r="I49" i="17"/>
  <c r="D49" i="17"/>
  <c r="B49" i="17"/>
  <c r="A29" i="17"/>
  <c r="O29" i="17"/>
  <c r="J29" i="17" s="1"/>
  <c r="A37" i="17"/>
  <c r="O37" i="17"/>
  <c r="J37" i="17" s="1"/>
  <c r="B13" i="18"/>
  <c r="C13" i="18" s="1"/>
  <c r="B15" i="18"/>
  <c r="I15" i="18" s="1"/>
  <c r="D45" i="18"/>
  <c r="C45" i="18"/>
  <c r="I45" i="18"/>
  <c r="B45" i="18"/>
  <c r="C38" i="18"/>
  <c r="D38" i="18"/>
  <c r="B38" i="18"/>
  <c r="I38" i="18"/>
  <c r="C17" i="18"/>
  <c r="D17" i="18"/>
  <c r="I17" i="18"/>
  <c r="B17" i="18"/>
  <c r="O53" i="18"/>
  <c r="J53" i="18" s="1"/>
  <c r="A53" i="18"/>
  <c r="O33" i="18" l="1"/>
  <c r="J33" i="18" s="1"/>
  <c r="D10" i="17"/>
  <c r="O40" i="17"/>
  <c r="J40" i="17" s="1"/>
  <c r="A25" i="17"/>
  <c r="D7" i="17"/>
  <c r="C7" i="17"/>
  <c r="O51" i="18"/>
  <c r="J51" i="18" s="1"/>
  <c r="A52" i="17"/>
  <c r="A16" i="18"/>
  <c r="A40" i="18"/>
  <c r="C15" i="18"/>
  <c r="D14" i="18"/>
  <c r="A7" i="17"/>
  <c r="D15" i="18"/>
  <c r="C11" i="18"/>
  <c r="I14" i="18"/>
  <c r="D13" i="18"/>
  <c r="D11" i="18"/>
  <c r="D13" i="17"/>
  <c r="C4" i="17"/>
  <c r="I13" i="18"/>
  <c r="A24" i="18"/>
  <c r="C14" i="18"/>
  <c r="D15" i="17"/>
  <c r="C8" i="17"/>
  <c r="D17" i="17"/>
  <c r="I4" i="17"/>
  <c r="C14" i="17"/>
  <c r="I14" i="17"/>
  <c r="I7" i="17"/>
  <c r="D14" i="17"/>
  <c r="D8" i="17"/>
  <c r="C10" i="17"/>
  <c r="C16" i="17"/>
  <c r="I13" i="17"/>
  <c r="D16" i="17"/>
  <c r="C15" i="17"/>
  <c r="I16" i="17"/>
  <c r="D4" i="17"/>
  <c r="I10" i="17"/>
  <c r="C13" i="17"/>
  <c r="A23" i="17"/>
  <c r="A47" i="18"/>
  <c r="A34" i="18"/>
  <c r="O35" i="17"/>
  <c r="J35" i="17" s="1"/>
  <c r="O20" i="18"/>
  <c r="J20" i="18" s="1"/>
  <c r="O32" i="17"/>
  <c r="J32" i="17" s="1"/>
  <c r="O22" i="17"/>
  <c r="J22" i="17" s="1"/>
  <c r="A36" i="18"/>
  <c r="A52" i="18"/>
  <c r="O24" i="17"/>
  <c r="J24" i="17" s="1"/>
  <c r="A19" i="17"/>
  <c r="O44" i="18"/>
  <c r="J44" i="18" s="1"/>
  <c r="A14" i="18"/>
  <c r="O23" i="18"/>
  <c r="J23" i="18" s="1"/>
  <c r="O35" i="18"/>
  <c r="J35" i="18" s="1"/>
  <c r="O43" i="18"/>
  <c r="J43" i="18" s="1"/>
  <c r="O26" i="18"/>
  <c r="J26" i="18" s="1"/>
  <c r="O28" i="17"/>
  <c r="J28" i="17" s="1"/>
  <c r="A53" i="17"/>
  <c r="A46" i="17"/>
  <c r="O45" i="17"/>
  <c r="J45" i="17" s="1"/>
  <c r="O5" i="17"/>
  <c r="J5" i="17" s="1"/>
  <c r="A42" i="17"/>
  <c r="O21" i="17"/>
  <c r="J21" i="17" s="1"/>
  <c r="A5" i="17"/>
  <c r="A51" i="17"/>
  <c r="A16" i="17"/>
  <c r="O31" i="17"/>
  <c r="J31" i="17" s="1"/>
  <c r="A47" i="17"/>
  <c r="A30" i="18"/>
  <c r="O50" i="18"/>
  <c r="J50" i="18" s="1"/>
  <c r="A25" i="18"/>
  <c r="O41" i="18"/>
  <c r="J41" i="18" s="1"/>
  <c r="O27" i="18"/>
  <c r="J27" i="18" s="1"/>
  <c r="A14" i="17"/>
  <c r="A36" i="17"/>
  <c r="O18" i="17"/>
  <c r="J18" i="17" s="1"/>
  <c r="O10" i="17"/>
  <c r="J10" i="17" s="1"/>
  <c r="O38" i="17"/>
  <c r="J38" i="17" s="1"/>
  <c r="O48" i="17"/>
  <c r="J48" i="17" s="1"/>
  <c r="A41" i="17"/>
  <c r="A18" i="18"/>
  <c r="A48" i="18"/>
  <c r="A4" i="17"/>
  <c r="A34" i="17"/>
  <c r="C5" i="17"/>
  <c r="D5" i="17"/>
  <c r="A26" i="17"/>
  <c r="A46" i="18"/>
  <c r="A15" i="17"/>
  <c r="O20" i="17"/>
  <c r="J20" i="17" s="1"/>
  <c r="A13" i="17"/>
  <c r="C9" i="18"/>
  <c r="C6" i="18"/>
  <c r="D9" i="18"/>
  <c r="I11" i="17"/>
  <c r="I6" i="18"/>
  <c r="I4" i="18"/>
  <c r="C4" i="18"/>
  <c r="C8" i="18"/>
  <c r="D11" i="17"/>
  <c r="D5" i="18"/>
  <c r="I6" i="17"/>
  <c r="C6" i="17"/>
  <c r="A4" i="18"/>
  <c r="O4" i="18"/>
  <c r="J4" i="18" s="1"/>
  <c r="O11" i="18"/>
  <c r="J11" i="18" s="1"/>
  <c r="A11" i="18"/>
  <c r="I8" i="18"/>
  <c r="O8" i="18"/>
  <c r="J8" i="18" s="1"/>
  <c r="A8" i="18"/>
  <c r="C5" i="18"/>
  <c r="A5" i="18"/>
  <c r="O5" i="18"/>
  <c r="J5" i="18" s="1"/>
  <c r="N7" i="18"/>
  <c r="N10" i="18"/>
  <c r="A9" i="18"/>
  <c r="O9" i="18"/>
  <c r="J9" i="18" s="1"/>
  <c r="A11" i="17"/>
  <c r="O11" i="17"/>
  <c r="J11" i="17" s="1"/>
  <c r="A6" i="18"/>
  <c r="O6" i="18"/>
  <c r="J6" i="18" s="1"/>
  <c r="G34" i="16"/>
  <c r="D34" i="16"/>
  <c r="A17" i="18"/>
  <c r="O17" i="18"/>
  <c r="J17" i="18" s="1"/>
  <c r="A45" i="18"/>
  <c r="O45" i="18"/>
  <c r="J45" i="18" s="1"/>
  <c r="O13" i="18"/>
  <c r="J13" i="18" s="1"/>
  <c r="A13" i="18"/>
  <c r="O49" i="17"/>
  <c r="J49" i="17" s="1"/>
  <c r="A49" i="17"/>
  <c r="A39" i="17"/>
  <c r="O39" i="17"/>
  <c r="J39" i="17" s="1"/>
  <c r="F39" i="16"/>
  <c r="A49" i="18"/>
  <c r="O49" i="18"/>
  <c r="J49" i="18" s="1"/>
  <c r="A39" i="18"/>
  <c r="O39" i="18"/>
  <c r="J39" i="18" s="1"/>
  <c r="O42" i="18"/>
  <c r="J42" i="18" s="1"/>
  <c r="A42" i="18"/>
  <c r="A19" i="18"/>
  <c r="O19" i="18"/>
  <c r="J19" i="18" s="1"/>
  <c r="A17" i="17"/>
  <c r="O17" i="17"/>
  <c r="J17" i="17" s="1"/>
  <c r="O38" i="18"/>
  <c r="J38" i="18" s="1"/>
  <c r="A38" i="18"/>
  <c r="A15" i="18"/>
  <c r="O15" i="18"/>
  <c r="J15" i="18" s="1"/>
  <c r="O8" i="17"/>
  <c r="J8" i="17" s="1"/>
  <c r="A8" i="17"/>
  <c r="A30" i="17"/>
  <c r="O30" i="17"/>
  <c r="J30" i="17" s="1"/>
  <c r="O32" i="18"/>
  <c r="J32" i="18" s="1"/>
  <c r="A32" i="18"/>
  <c r="A6" i="17"/>
  <c r="O6" i="17"/>
  <c r="J6" i="17" s="1"/>
  <c r="B10" i="18" l="1"/>
  <c r="I10" i="18" s="1"/>
  <c r="B7" i="18"/>
  <c r="I7" i="18" s="1"/>
  <c r="B12" i="17"/>
  <c r="C12" i="17" s="1"/>
  <c r="D35" i="16"/>
  <c r="G35" i="16"/>
  <c r="F40" i="16"/>
  <c r="C10" i="18" l="1"/>
  <c r="D10" i="18"/>
  <c r="C7" i="18"/>
  <c r="D7" i="18"/>
  <c r="D12" i="17"/>
  <c r="I12" i="17"/>
  <c r="A12" i="17"/>
  <c r="O12" i="17"/>
  <c r="J12" i="17" s="1"/>
  <c r="O7" i="18"/>
  <c r="J7" i="18" s="1"/>
  <c r="A7" i="18"/>
  <c r="A10" i="18"/>
  <c r="O10" i="18"/>
  <c r="J10" i="18" s="1"/>
  <c r="D36" i="16"/>
  <c r="G36" i="16"/>
  <c r="F41" i="16"/>
  <c r="G37" i="16" l="1"/>
  <c r="D37" i="16"/>
  <c r="F42" i="16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56" i="16" s="1"/>
  <c r="F57" i="16" s="1"/>
  <c r="F58" i="16" s="1"/>
  <c r="F59" i="16" s="1"/>
  <c r="F60" i="16" s="1"/>
  <c r="F61" i="16" s="1"/>
  <c r="F62" i="16" s="1"/>
  <c r="F63" i="16" s="1"/>
  <c r="F64" i="16" s="1"/>
  <c r="F65" i="16" s="1"/>
  <c r="F66" i="16" s="1"/>
  <c r="F67" i="16" s="1"/>
  <c r="F68" i="16" s="1"/>
  <c r="F69" i="16" s="1"/>
  <c r="F70" i="16" s="1"/>
  <c r="F71" i="16" s="1"/>
  <c r="F72" i="16" s="1"/>
  <c r="F73" i="16" s="1"/>
  <c r="F74" i="16" s="1"/>
  <c r="F75" i="16" s="1"/>
  <c r="F76" i="16" s="1"/>
  <c r="F77" i="16" s="1"/>
  <c r="F78" i="16" s="1"/>
  <c r="F79" i="16" s="1"/>
  <c r="F80" i="16" s="1"/>
  <c r="F81" i="16" s="1"/>
  <c r="F82" i="16" s="1"/>
  <c r="F83" i="16" s="1"/>
  <c r="F84" i="16" s="1"/>
  <c r="F85" i="16" s="1"/>
  <c r="F86" i="16" s="1"/>
  <c r="F87" i="16" s="1"/>
  <c r="F88" i="16" s="1"/>
  <c r="F89" i="16" s="1"/>
  <c r="F90" i="16" s="1"/>
  <c r="F91" i="16" s="1"/>
  <c r="F92" i="16" s="1"/>
  <c r="F93" i="16" s="1"/>
  <c r="F94" i="16" s="1"/>
  <c r="F95" i="16" s="1"/>
  <c r="F96" i="16" s="1"/>
  <c r="F97" i="16" s="1"/>
  <c r="F98" i="16" s="1"/>
  <c r="F99" i="16" s="1"/>
  <c r="F100" i="16" s="1"/>
  <c r="F101" i="16" s="1"/>
  <c r="F102" i="16" s="1"/>
  <c r="F103" i="16" s="1"/>
  <c r="F104" i="16" s="1"/>
  <c r="F105" i="16" s="1"/>
  <c r="F106" i="16" s="1"/>
  <c r="F107" i="16" s="1"/>
  <c r="F108" i="16" s="1"/>
  <c r="F109" i="16" s="1"/>
  <c r="F110" i="16" s="1"/>
  <c r="F111" i="16" s="1"/>
  <c r="F112" i="16" s="1"/>
  <c r="F113" i="16" s="1"/>
  <c r="F114" i="16" s="1"/>
  <c r="F115" i="16" s="1"/>
  <c r="F116" i="16" s="1"/>
  <c r="F117" i="16" s="1"/>
  <c r="F118" i="16" s="1"/>
  <c r="F119" i="16" s="1"/>
  <c r="F120" i="16" s="1"/>
  <c r="F121" i="16" s="1"/>
  <c r="F122" i="16" s="1"/>
  <c r="F123" i="16" s="1"/>
  <c r="F124" i="16" s="1"/>
  <c r="F125" i="16" s="1"/>
  <c r="F126" i="16" s="1"/>
  <c r="F127" i="16" s="1"/>
  <c r="F128" i="16" s="1"/>
  <c r="F129" i="16" s="1"/>
  <c r="F130" i="16" s="1"/>
  <c r="F131" i="16" s="1"/>
  <c r="F132" i="16" s="1"/>
  <c r="F133" i="16" s="1"/>
  <c r="F134" i="16" s="1"/>
  <c r="F135" i="16" s="1"/>
  <c r="F136" i="16" s="1"/>
  <c r="F137" i="16" s="1"/>
  <c r="F138" i="16" s="1"/>
  <c r="F139" i="16" s="1"/>
  <c r="F140" i="16" s="1"/>
  <c r="F141" i="16" s="1"/>
  <c r="F142" i="16" s="1"/>
  <c r="F143" i="16" s="1"/>
  <c r="F144" i="16" s="1"/>
  <c r="F145" i="16" s="1"/>
  <c r="F146" i="16" s="1"/>
  <c r="F147" i="16" s="1"/>
  <c r="F148" i="16" s="1"/>
  <c r="F149" i="16" s="1"/>
  <c r="F150" i="16" s="1"/>
  <c r="F151" i="16" s="1"/>
  <c r="F152" i="16" s="1"/>
  <c r="F153" i="16" s="1"/>
  <c r="F154" i="16" s="1"/>
  <c r="F155" i="16" s="1"/>
  <c r="F156" i="16" s="1"/>
  <c r="F157" i="16" s="1"/>
  <c r="F158" i="16" s="1"/>
  <c r="F159" i="16" s="1"/>
  <c r="F160" i="16" s="1"/>
  <c r="F161" i="16" s="1"/>
  <c r="F162" i="16" s="1"/>
  <c r="F163" i="16" s="1"/>
  <c r="F164" i="16" s="1"/>
  <c r="F165" i="16" s="1"/>
  <c r="F166" i="16" s="1"/>
  <c r="F167" i="16" s="1"/>
  <c r="F168" i="16" s="1"/>
  <c r="F169" i="16" s="1"/>
  <c r="F170" i="16" s="1"/>
  <c r="F171" i="16" s="1"/>
  <c r="F172" i="16" s="1"/>
  <c r="F173" i="16" s="1"/>
  <c r="F174" i="16" s="1"/>
  <c r="F175" i="16" s="1"/>
  <c r="F176" i="16" s="1"/>
  <c r="F177" i="16" s="1"/>
  <c r="F178" i="16" s="1"/>
  <c r="F179" i="16" s="1"/>
  <c r="F180" i="16" s="1"/>
  <c r="F181" i="16" s="1"/>
  <c r="F182" i="16" s="1"/>
  <c r="F183" i="16" s="1"/>
  <c r="F184" i="16" s="1"/>
  <c r="F185" i="16" s="1"/>
  <c r="F186" i="16" s="1"/>
  <c r="F187" i="16" s="1"/>
  <c r="F188" i="16" s="1"/>
  <c r="F189" i="16" s="1"/>
  <c r="F190" i="16" s="1"/>
  <c r="F191" i="16" s="1"/>
  <c r="F192" i="16" s="1"/>
  <c r="F193" i="16" s="1"/>
  <c r="F194" i="16" s="1"/>
  <c r="F195" i="16" s="1"/>
  <c r="F196" i="16" s="1"/>
  <c r="F197" i="16" s="1"/>
  <c r="F198" i="16" s="1"/>
  <c r="F199" i="16" s="1"/>
  <c r="F200" i="16" s="1"/>
  <c r="F201" i="16" s="1"/>
  <c r="F202" i="16" s="1"/>
  <c r="N28" i="21" l="1"/>
  <c r="B28" i="21" s="1"/>
  <c r="N24" i="21"/>
  <c r="D24" i="21" s="1"/>
  <c r="N43" i="21"/>
  <c r="C43" i="21" s="1"/>
  <c r="N41" i="21"/>
  <c r="B41" i="21" s="1"/>
  <c r="N40" i="21"/>
  <c r="C40" i="21" s="1"/>
  <c r="N17" i="21"/>
  <c r="I17" i="21" s="1"/>
  <c r="N10" i="21"/>
  <c r="N49" i="21"/>
  <c r="I49" i="21" s="1"/>
  <c r="D38" i="16"/>
  <c r="D39" i="16" s="1"/>
  <c r="D40" i="16" s="1"/>
  <c r="D41" i="16" s="1"/>
  <c r="D42" i="16" s="1"/>
  <c r="D43" i="16" s="1"/>
  <c r="D44" i="16" s="1"/>
  <c r="D45" i="16" s="1"/>
  <c r="D46" i="16" s="1"/>
  <c r="D47" i="16" s="1"/>
  <c r="D48" i="16" s="1"/>
  <c r="D49" i="16" s="1"/>
  <c r="D50" i="16" s="1"/>
  <c r="D51" i="16" s="1"/>
  <c r="D52" i="16" s="1"/>
  <c r="D53" i="16" s="1"/>
  <c r="D54" i="16" s="1"/>
  <c r="D55" i="16" s="1"/>
  <c r="D56" i="16" s="1"/>
  <c r="D57" i="16" s="1"/>
  <c r="D58" i="16" s="1"/>
  <c r="D59" i="16" s="1"/>
  <c r="D60" i="16" s="1"/>
  <c r="D61" i="16" s="1"/>
  <c r="D62" i="16" s="1"/>
  <c r="D63" i="16" s="1"/>
  <c r="D64" i="16" s="1"/>
  <c r="D65" i="16" s="1"/>
  <c r="D66" i="16" s="1"/>
  <c r="D67" i="16" s="1"/>
  <c r="D68" i="16" s="1"/>
  <c r="D69" i="16" s="1"/>
  <c r="D70" i="16" s="1"/>
  <c r="D71" i="16" s="1"/>
  <c r="D72" i="16" s="1"/>
  <c r="D73" i="16" s="1"/>
  <c r="D74" i="16" s="1"/>
  <c r="D75" i="16" s="1"/>
  <c r="D76" i="16" s="1"/>
  <c r="D77" i="16" s="1"/>
  <c r="D78" i="16" s="1"/>
  <c r="D79" i="16" s="1"/>
  <c r="D80" i="16" s="1"/>
  <c r="D81" i="16" s="1"/>
  <c r="D82" i="16" s="1"/>
  <c r="D83" i="16" s="1"/>
  <c r="D84" i="16" s="1"/>
  <c r="D85" i="16" s="1"/>
  <c r="D86" i="16" s="1"/>
  <c r="D87" i="16" s="1"/>
  <c r="D88" i="16" s="1"/>
  <c r="D89" i="16" s="1"/>
  <c r="D90" i="16" s="1"/>
  <c r="D91" i="16" s="1"/>
  <c r="D92" i="16" s="1"/>
  <c r="D93" i="16" s="1"/>
  <c r="D94" i="16" s="1"/>
  <c r="D95" i="16" s="1"/>
  <c r="D96" i="16" s="1"/>
  <c r="D97" i="16" s="1"/>
  <c r="D98" i="16" s="1"/>
  <c r="D99" i="16" s="1"/>
  <c r="D100" i="16" s="1"/>
  <c r="D101" i="16" s="1"/>
  <c r="D102" i="16" s="1"/>
  <c r="D103" i="16" s="1"/>
  <c r="D104" i="16" s="1"/>
  <c r="D105" i="16" s="1"/>
  <c r="D106" i="16" s="1"/>
  <c r="D107" i="16" s="1"/>
  <c r="D108" i="16" s="1"/>
  <c r="D109" i="16" s="1"/>
  <c r="D110" i="16" s="1"/>
  <c r="D111" i="16" s="1"/>
  <c r="D112" i="16" s="1"/>
  <c r="D113" i="16" s="1"/>
  <c r="D114" i="16" s="1"/>
  <c r="D115" i="16" s="1"/>
  <c r="D116" i="16" s="1"/>
  <c r="D117" i="16" s="1"/>
  <c r="D118" i="16" s="1"/>
  <c r="D119" i="16" s="1"/>
  <c r="D120" i="16" s="1"/>
  <c r="D121" i="16" s="1"/>
  <c r="D122" i="16" s="1"/>
  <c r="D123" i="16" s="1"/>
  <c r="D124" i="16" s="1"/>
  <c r="D125" i="16" s="1"/>
  <c r="D126" i="16" s="1"/>
  <c r="D127" i="16" s="1"/>
  <c r="D128" i="16" s="1"/>
  <c r="D129" i="16" s="1"/>
  <c r="D130" i="16" s="1"/>
  <c r="D131" i="16" s="1"/>
  <c r="D132" i="16" s="1"/>
  <c r="D133" i="16" s="1"/>
  <c r="D134" i="16" s="1"/>
  <c r="D135" i="16" s="1"/>
  <c r="D136" i="16" s="1"/>
  <c r="D137" i="16" s="1"/>
  <c r="D138" i="16" s="1"/>
  <c r="D139" i="16" s="1"/>
  <c r="D140" i="16" s="1"/>
  <c r="D141" i="16" s="1"/>
  <c r="D142" i="16" s="1"/>
  <c r="D143" i="16" s="1"/>
  <c r="D144" i="16" s="1"/>
  <c r="D145" i="16" s="1"/>
  <c r="D146" i="16" s="1"/>
  <c r="D147" i="16" s="1"/>
  <c r="D148" i="16" s="1"/>
  <c r="D149" i="16" s="1"/>
  <c r="D150" i="16" s="1"/>
  <c r="D151" i="16" s="1"/>
  <c r="D152" i="16" s="1"/>
  <c r="D153" i="16" s="1"/>
  <c r="D154" i="16" s="1"/>
  <c r="D155" i="16" s="1"/>
  <c r="D156" i="16" s="1"/>
  <c r="D157" i="16" s="1"/>
  <c r="D158" i="16" s="1"/>
  <c r="D159" i="16" s="1"/>
  <c r="D160" i="16" s="1"/>
  <c r="D161" i="16" s="1"/>
  <c r="D162" i="16" s="1"/>
  <c r="D163" i="16" s="1"/>
  <c r="D164" i="16" s="1"/>
  <c r="D165" i="16" s="1"/>
  <c r="D166" i="16" s="1"/>
  <c r="D167" i="16" s="1"/>
  <c r="D168" i="16" s="1"/>
  <c r="D169" i="16" s="1"/>
  <c r="D170" i="16" s="1"/>
  <c r="D171" i="16" s="1"/>
  <c r="D172" i="16" s="1"/>
  <c r="D173" i="16" s="1"/>
  <c r="D174" i="16" s="1"/>
  <c r="D175" i="16" s="1"/>
  <c r="D176" i="16" s="1"/>
  <c r="D177" i="16" s="1"/>
  <c r="D178" i="16" s="1"/>
  <c r="D179" i="16" s="1"/>
  <c r="D180" i="16" s="1"/>
  <c r="D181" i="16" s="1"/>
  <c r="D182" i="16" s="1"/>
  <c r="D183" i="16" s="1"/>
  <c r="D184" i="16" s="1"/>
  <c r="D185" i="16" s="1"/>
  <c r="D186" i="16" s="1"/>
  <c r="D187" i="16" s="1"/>
  <c r="D188" i="16" s="1"/>
  <c r="D189" i="16" s="1"/>
  <c r="D190" i="16" s="1"/>
  <c r="D191" i="16" s="1"/>
  <c r="D192" i="16" s="1"/>
  <c r="D193" i="16" s="1"/>
  <c r="D194" i="16" s="1"/>
  <c r="D195" i="16" s="1"/>
  <c r="D196" i="16" s="1"/>
  <c r="D197" i="16" s="1"/>
  <c r="D198" i="16" s="1"/>
  <c r="D199" i="16" s="1"/>
  <c r="D200" i="16" s="1"/>
  <c r="D201" i="16" s="1"/>
  <c r="D202" i="16" s="1"/>
  <c r="G38" i="16"/>
  <c r="G39" i="16" s="1"/>
  <c r="G40" i="16" s="1"/>
  <c r="G41" i="16" s="1"/>
  <c r="G42" i="16" s="1"/>
  <c r="G43" i="16" s="1"/>
  <c r="G44" i="16" s="1"/>
  <c r="G45" i="16" s="1"/>
  <c r="G46" i="16" s="1"/>
  <c r="G47" i="16" s="1"/>
  <c r="G48" i="16" s="1"/>
  <c r="G49" i="16" s="1"/>
  <c r="G50" i="16" s="1"/>
  <c r="G51" i="16" s="1"/>
  <c r="G52" i="16" s="1"/>
  <c r="G53" i="16" s="1"/>
  <c r="G54" i="16" s="1"/>
  <c r="G55" i="16" s="1"/>
  <c r="G56" i="16" s="1"/>
  <c r="G57" i="16" s="1"/>
  <c r="G58" i="16" s="1"/>
  <c r="G59" i="16" s="1"/>
  <c r="G60" i="16" s="1"/>
  <c r="G61" i="16" s="1"/>
  <c r="G62" i="16" s="1"/>
  <c r="G63" i="16" s="1"/>
  <c r="G64" i="16" s="1"/>
  <c r="G65" i="16" s="1"/>
  <c r="G66" i="16" s="1"/>
  <c r="G67" i="16" s="1"/>
  <c r="G68" i="16" s="1"/>
  <c r="G69" i="16" s="1"/>
  <c r="G70" i="16" s="1"/>
  <c r="G71" i="16" s="1"/>
  <c r="G72" i="16" s="1"/>
  <c r="G73" i="16" s="1"/>
  <c r="G74" i="16" s="1"/>
  <c r="G75" i="16" s="1"/>
  <c r="G76" i="16" s="1"/>
  <c r="G77" i="16" s="1"/>
  <c r="G78" i="16" s="1"/>
  <c r="G79" i="16" s="1"/>
  <c r="G80" i="16" s="1"/>
  <c r="G81" i="16" s="1"/>
  <c r="G82" i="16" s="1"/>
  <c r="G83" i="16" s="1"/>
  <c r="G84" i="16" s="1"/>
  <c r="G85" i="16" s="1"/>
  <c r="G86" i="16" s="1"/>
  <c r="G87" i="16" s="1"/>
  <c r="G88" i="16" s="1"/>
  <c r="G89" i="16" s="1"/>
  <c r="G90" i="16" s="1"/>
  <c r="G91" i="16" s="1"/>
  <c r="G92" i="16" s="1"/>
  <c r="G93" i="16" s="1"/>
  <c r="G94" i="16" s="1"/>
  <c r="G95" i="16" s="1"/>
  <c r="G96" i="16" s="1"/>
  <c r="G97" i="16" s="1"/>
  <c r="G98" i="16" s="1"/>
  <c r="G99" i="16" s="1"/>
  <c r="G100" i="16" s="1"/>
  <c r="G101" i="16" s="1"/>
  <c r="G102" i="16" s="1"/>
  <c r="G103" i="16" s="1"/>
  <c r="G104" i="16" s="1"/>
  <c r="G105" i="16" s="1"/>
  <c r="G106" i="16" s="1"/>
  <c r="G107" i="16" s="1"/>
  <c r="G108" i="16" s="1"/>
  <c r="G109" i="16" s="1"/>
  <c r="G110" i="16" s="1"/>
  <c r="G111" i="16" s="1"/>
  <c r="G112" i="16" s="1"/>
  <c r="G113" i="16" s="1"/>
  <c r="G114" i="16" s="1"/>
  <c r="G115" i="16" s="1"/>
  <c r="G116" i="16" s="1"/>
  <c r="G117" i="16" s="1"/>
  <c r="G118" i="16" s="1"/>
  <c r="G119" i="16" s="1"/>
  <c r="G120" i="16" s="1"/>
  <c r="G121" i="16" s="1"/>
  <c r="G122" i="16" s="1"/>
  <c r="G123" i="16" s="1"/>
  <c r="G124" i="16" s="1"/>
  <c r="G125" i="16" s="1"/>
  <c r="G126" i="16" s="1"/>
  <c r="G127" i="16" s="1"/>
  <c r="G128" i="16" s="1"/>
  <c r="G129" i="16" s="1"/>
  <c r="G130" i="16" s="1"/>
  <c r="G131" i="16" s="1"/>
  <c r="G132" i="16" s="1"/>
  <c r="G133" i="16" s="1"/>
  <c r="G134" i="16" s="1"/>
  <c r="G135" i="16" s="1"/>
  <c r="G136" i="16" s="1"/>
  <c r="G137" i="16" s="1"/>
  <c r="G138" i="16" s="1"/>
  <c r="G139" i="16" s="1"/>
  <c r="G140" i="16" s="1"/>
  <c r="G141" i="16" s="1"/>
  <c r="G142" i="16" s="1"/>
  <c r="G143" i="16" s="1"/>
  <c r="G144" i="16" s="1"/>
  <c r="G145" i="16" s="1"/>
  <c r="G146" i="16" s="1"/>
  <c r="G147" i="16" s="1"/>
  <c r="G148" i="16" s="1"/>
  <c r="G149" i="16" s="1"/>
  <c r="G150" i="16" s="1"/>
  <c r="G151" i="16" s="1"/>
  <c r="G152" i="16" s="1"/>
  <c r="G153" i="16" s="1"/>
  <c r="G154" i="16" s="1"/>
  <c r="G155" i="16" s="1"/>
  <c r="G156" i="16" s="1"/>
  <c r="G157" i="16" s="1"/>
  <c r="G158" i="16" s="1"/>
  <c r="G159" i="16" s="1"/>
  <c r="G160" i="16" s="1"/>
  <c r="G161" i="16" s="1"/>
  <c r="G162" i="16" s="1"/>
  <c r="G163" i="16" s="1"/>
  <c r="G164" i="16" s="1"/>
  <c r="G165" i="16" s="1"/>
  <c r="G166" i="16" s="1"/>
  <c r="G167" i="16" s="1"/>
  <c r="G168" i="16" s="1"/>
  <c r="G169" i="16" s="1"/>
  <c r="G170" i="16" s="1"/>
  <c r="G171" i="16" s="1"/>
  <c r="G172" i="16" s="1"/>
  <c r="G173" i="16" s="1"/>
  <c r="G174" i="16" s="1"/>
  <c r="G175" i="16" s="1"/>
  <c r="G176" i="16" s="1"/>
  <c r="G177" i="16" s="1"/>
  <c r="G178" i="16" s="1"/>
  <c r="G179" i="16" s="1"/>
  <c r="G180" i="16" s="1"/>
  <c r="G181" i="16" s="1"/>
  <c r="G182" i="16" s="1"/>
  <c r="G183" i="16" s="1"/>
  <c r="G184" i="16" s="1"/>
  <c r="G185" i="16" s="1"/>
  <c r="G186" i="16" s="1"/>
  <c r="G187" i="16" s="1"/>
  <c r="G188" i="16" s="1"/>
  <c r="G189" i="16" s="1"/>
  <c r="G190" i="16" s="1"/>
  <c r="G191" i="16" s="1"/>
  <c r="G192" i="16" s="1"/>
  <c r="G193" i="16" s="1"/>
  <c r="G194" i="16" s="1"/>
  <c r="G195" i="16" s="1"/>
  <c r="G196" i="16" s="1"/>
  <c r="G197" i="16" s="1"/>
  <c r="G198" i="16" s="1"/>
  <c r="G199" i="16" s="1"/>
  <c r="G200" i="16" s="1"/>
  <c r="G201" i="16" s="1"/>
  <c r="G202" i="16" s="1"/>
  <c r="N29" i="21"/>
  <c r="C29" i="21" s="1"/>
  <c r="N18" i="21"/>
  <c r="B18" i="21" s="1"/>
  <c r="N23" i="21"/>
  <c r="B23" i="21" s="1"/>
  <c r="N19" i="21"/>
  <c r="C19" i="21" s="1"/>
  <c r="N12" i="21"/>
  <c r="B12" i="21" s="1"/>
  <c r="N6" i="21"/>
  <c r="N44" i="21"/>
  <c r="B44" i="21" s="1"/>
  <c r="N39" i="21"/>
  <c r="D39" i="21" s="1"/>
  <c r="N4" i="21"/>
  <c r="B4" i="21" s="1"/>
  <c r="N22" i="18"/>
  <c r="N22" i="21"/>
  <c r="N9" i="21"/>
  <c r="N14" i="21"/>
  <c r="N7" i="21"/>
  <c r="N37" i="21"/>
  <c r="N16" i="21"/>
  <c r="N35" i="21"/>
  <c r="N30" i="21"/>
  <c r="N48" i="21"/>
  <c r="N33" i="21"/>
  <c r="N46" i="21"/>
  <c r="N13" i="21"/>
  <c r="N50" i="21"/>
  <c r="N52" i="21"/>
  <c r="N11" i="21"/>
  <c r="N38" i="21"/>
  <c r="N47" i="21"/>
  <c r="N21" i="21"/>
  <c r="N42" i="21"/>
  <c r="N45" i="21"/>
  <c r="N36" i="21"/>
  <c r="N34" i="21"/>
  <c r="N31" i="21"/>
  <c r="N25" i="21"/>
  <c r="N51" i="21"/>
  <c r="N27" i="21"/>
  <c r="N20" i="21"/>
  <c r="N53" i="21"/>
  <c r="N32" i="21"/>
  <c r="N15" i="21"/>
  <c r="N26" i="21"/>
  <c r="C24" i="21" l="1"/>
  <c r="B17" i="21"/>
  <c r="A17" i="21" s="1"/>
  <c r="I40" i="21"/>
  <c r="D40" i="21"/>
  <c r="D28" i="21"/>
  <c r="I28" i="21"/>
  <c r="D41" i="21"/>
  <c r="B24" i="21"/>
  <c r="A24" i="21" s="1"/>
  <c r="C17" i="21"/>
  <c r="I24" i="21"/>
  <c r="D17" i="21"/>
  <c r="D19" i="21"/>
  <c r="I19" i="21"/>
  <c r="C39" i="21"/>
  <c r="I41" i="21"/>
  <c r="B49" i="21"/>
  <c r="A49" i="21" s="1"/>
  <c r="I43" i="21"/>
  <c r="D18" i="21"/>
  <c r="C49" i="21"/>
  <c r="D43" i="21"/>
  <c r="B19" i="21"/>
  <c r="O19" i="21" s="1"/>
  <c r="J19" i="21" s="1"/>
  <c r="D49" i="21"/>
  <c r="C41" i="21"/>
  <c r="C18" i="21"/>
  <c r="N9" i="19"/>
  <c r="B9" i="19" s="1"/>
  <c r="D9" i="19" s="1"/>
  <c r="I18" i="21"/>
  <c r="B6" i="21"/>
  <c r="A6" i="21" s="1"/>
  <c r="I39" i="21"/>
  <c r="B39" i="21"/>
  <c r="A39" i="21" s="1"/>
  <c r="B10" i="21"/>
  <c r="O10" i="21" s="1"/>
  <c r="J10" i="21" s="1"/>
  <c r="B43" i="21"/>
  <c r="A43" i="21" s="1"/>
  <c r="B40" i="21"/>
  <c r="O40" i="21" s="1"/>
  <c r="J40" i="21" s="1"/>
  <c r="C28" i="21"/>
  <c r="I44" i="21"/>
  <c r="C23" i="21"/>
  <c r="D4" i="21"/>
  <c r="D12" i="21"/>
  <c r="I29" i="21"/>
  <c r="I4" i="21"/>
  <c r="D44" i="21"/>
  <c r="I12" i="21"/>
  <c r="I23" i="21"/>
  <c r="D29" i="21"/>
  <c r="N5" i="21"/>
  <c r="N11" i="19"/>
  <c r="N8" i="19"/>
  <c r="N8" i="21"/>
  <c r="N7" i="19"/>
  <c r="C4" i="21"/>
  <c r="C44" i="21"/>
  <c r="C12" i="21"/>
  <c r="D23" i="21"/>
  <c r="B29" i="21"/>
  <c r="A29" i="21" s="1"/>
  <c r="N6" i="19"/>
  <c r="N48" i="19"/>
  <c r="N26" i="19"/>
  <c r="N52" i="19"/>
  <c r="N21" i="19"/>
  <c r="N22" i="19"/>
  <c r="N46" i="19"/>
  <c r="N28" i="19"/>
  <c r="N18" i="19"/>
  <c r="N15" i="19"/>
  <c r="N25" i="19"/>
  <c r="N4" i="19"/>
  <c r="N30" i="19"/>
  <c r="N40" i="19"/>
  <c r="N47" i="19"/>
  <c r="N44" i="19"/>
  <c r="N50" i="19"/>
  <c r="N53" i="19"/>
  <c r="N51" i="19"/>
  <c r="N20" i="19"/>
  <c r="N39" i="19"/>
  <c r="N10" i="19"/>
  <c r="N14" i="19"/>
  <c r="N17" i="19"/>
  <c r="N37" i="19"/>
  <c r="N35" i="19"/>
  <c r="N32" i="19"/>
  <c r="N31" i="19"/>
  <c r="N36" i="19"/>
  <c r="N27" i="19"/>
  <c r="N41" i="19"/>
  <c r="N19" i="19"/>
  <c r="N49" i="19"/>
  <c r="N23" i="19"/>
  <c r="N42" i="19"/>
  <c r="N12" i="19"/>
  <c r="N29" i="19"/>
  <c r="N43" i="19"/>
  <c r="N24" i="19"/>
  <c r="N5" i="19"/>
  <c r="N34" i="19"/>
  <c r="N16" i="19"/>
  <c r="N33" i="19"/>
  <c r="N38" i="19"/>
  <c r="N45" i="19"/>
  <c r="N13" i="19"/>
  <c r="B15" i="21"/>
  <c r="I15" i="21"/>
  <c r="D15" i="21"/>
  <c r="C15" i="21"/>
  <c r="D53" i="21"/>
  <c r="C53" i="21"/>
  <c r="I53" i="21"/>
  <c r="B53" i="21"/>
  <c r="B27" i="21"/>
  <c r="I27" i="21"/>
  <c r="D27" i="21"/>
  <c r="C27" i="21"/>
  <c r="B25" i="21"/>
  <c r="I25" i="21"/>
  <c r="C25" i="21"/>
  <c r="D25" i="21"/>
  <c r="B34" i="21"/>
  <c r="I34" i="21"/>
  <c r="D34" i="21"/>
  <c r="C34" i="21"/>
  <c r="D45" i="21"/>
  <c r="B45" i="21"/>
  <c r="I45" i="21"/>
  <c r="C45" i="21"/>
  <c r="C21" i="21"/>
  <c r="D21" i="21"/>
  <c r="B21" i="21"/>
  <c r="I21" i="21"/>
  <c r="I38" i="21"/>
  <c r="B38" i="21"/>
  <c r="C38" i="21"/>
  <c r="D38" i="21"/>
  <c r="D52" i="21"/>
  <c r="C52" i="21"/>
  <c r="I52" i="21"/>
  <c r="B52" i="21"/>
  <c r="B13" i="21"/>
  <c r="I13" i="21"/>
  <c r="C13" i="21"/>
  <c r="D13" i="21"/>
  <c r="I33" i="21"/>
  <c r="B33" i="21"/>
  <c r="C33" i="21"/>
  <c r="D33" i="21"/>
  <c r="C30" i="21"/>
  <c r="D30" i="21"/>
  <c r="B30" i="21"/>
  <c r="I30" i="21"/>
  <c r="B16" i="21"/>
  <c r="I16" i="21"/>
  <c r="C16" i="21"/>
  <c r="D16" i="21"/>
  <c r="B7" i="21"/>
  <c r="I7" i="21" s="1"/>
  <c r="B9" i="21"/>
  <c r="I9" i="21" s="1"/>
  <c r="B22" i="18"/>
  <c r="I22" i="18"/>
  <c r="D22" i="18"/>
  <c r="C22" i="18"/>
  <c r="A4" i="21"/>
  <c r="O4" i="21"/>
  <c r="J4" i="21" s="1"/>
  <c r="A41" i="21"/>
  <c r="O41" i="21"/>
  <c r="J41" i="21" s="1"/>
  <c r="A44" i="21"/>
  <c r="O44" i="21"/>
  <c r="J44" i="21" s="1"/>
  <c r="A12" i="21"/>
  <c r="O12" i="21"/>
  <c r="J12" i="21" s="1"/>
  <c r="O17" i="21"/>
  <c r="J17" i="21" s="1"/>
  <c r="A23" i="21"/>
  <c r="O23" i="21"/>
  <c r="J23" i="21" s="1"/>
  <c r="O18" i="21"/>
  <c r="J18" i="21" s="1"/>
  <c r="A18" i="21"/>
  <c r="A28" i="21"/>
  <c r="O28" i="21"/>
  <c r="J28" i="21" s="1"/>
  <c r="C26" i="21"/>
  <c r="D26" i="21"/>
  <c r="B26" i="21"/>
  <c r="I26" i="21"/>
  <c r="I32" i="21"/>
  <c r="C32" i="21"/>
  <c r="D32" i="21"/>
  <c r="B32" i="21"/>
  <c r="B20" i="21"/>
  <c r="I20" i="21"/>
  <c r="C20" i="21"/>
  <c r="D20" i="21"/>
  <c r="C51" i="21"/>
  <c r="I51" i="21"/>
  <c r="B51" i="21"/>
  <c r="D51" i="21"/>
  <c r="I31" i="21"/>
  <c r="B31" i="21"/>
  <c r="D31" i="21"/>
  <c r="C31" i="21"/>
  <c r="B36" i="21"/>
  <c r="I36" i="21"/>
  <c r="C36" i="21"/>
  <c r="D36" i="21"/>
  <c r="C42" i="21"/>
  <c r="D42" i="21"/>
  <c r="B42" i="21"/>
  <c r="I42" i="21"/>
  <c r="C47" i="21"/>
  <c r="I47" i="21"/>
  <c r="B47" i="21"/>
  <c r="D47" i="21"/>
  <c r="B11" i="21"/>
  <c r="I11" i="21"/>
  <c r="D11" i="21"/>
  <c r="C11" i="21"/>
  <c r="C50" i="21"/>
  <c r="I50" i="21"/>
  <c r="B50" i="21"/>
  <c r="D50" i="21"/>
  <c r="C46" i="21"/>
  <c r="I46" i="21"/>
  <c r="D46" i="21"/>
  <c r="B46" i="21"/>
  <c r="C48" i="21"/>
  <c r="I48" i="21"/>
  <c r="D48" i="21"/>
  <c r="B48" i="21"/>
  <c r="I35" i="21"/>
  <c r="D35" i="21"/>
  <c r="B35" i="21"/>
  <c r="C35" i="21"/>
  <c r="C37" i="21"/>
  <c r="D37" i="21"/>
  <c r="B37" i="21"/>
  <c r="I37" i="21"/>
  <c r="C14" i="21"/>
  <c r="D14" i="21"/>
  <c r="B14" i="21"/>
  <c r="I14" i="21"/>
  <c r="B22" i="21"/>
  <c r="I22" i="21"/>
  <c r="C22" i="21"/>
  <c r="D22" i="21"/>
  <c r="C6" i="21" l="1"/>
  <c r="D6" i="21"/>
  <c r="D9" i="21"/>
  <c r="D7" i="21"/>
  <c r="C9" i="21"/>
  <c r="C7" i="21"/>
  <c r="C10" i="21"/>
  <c r="D10" i="21"/>
  <c r="I10" i="21"/>
  <c r="I6" i="21"/>
  <c r="O49" i="21"/>
  <c r="J49" i="21" s="1"/>
  <c r="O39" i="21"/>
  <c r="J39" i="21" s="1"/>
  <c r="O29" i="21"/>
  <c r="J29" i="21" s="1"/>
  <c r="O24" i="21"/>
  <c r="J24" i="21" s="1"/>
  <c r="A40" i="21"/>
  <c r="A19" i="21"/>
  <c r="O43" i="21"/>
  <c r="J43" i="21" s="1"/>
  <c r="O6" i="21"/>
  <c r="J6" i="21" s="1"/>
  <c r="A10" i="21"/>
  <c r="C9" i="19"/>
  <c r="B6" i="19"/>
  <c r="O6" i="19" s="1"/>
  <c r="J6" i="19" s="1"/>
  <c r="I9" i="19"/>
  <c r="B8" i="21"/>
  <c r="I8" i="21" s="1"/>
  <c r="B11" i="19"/>
  <c r="D11" i="19" s="1"/>
  <c r="O9" i="19"/>
  <c r="J9" i="19" s="1"/>
  <c r="A9" i="19"/>
  <c r="B7" i="19"/>
  <c r="D7" i="19" s="1"/>
  <c r="B8" i="19"/>
  <c r="C8" i="19" s="1"/>
  <c r="B5" i="21"/>
  <c r="C5" i="21" s="1"/>
  <c r="B45" i="19"/>
  <c r="I45" i="19"/>
  <c r="D45" i="19"/>
  <c r="C45" i="19"/>
  <c r="I33" i="19"/>
  <c r="B33" i="19"/>
  <c r="C33" i="19"/>
  <c r="D33" i="19"/>
  <c r="B34" i="19"/>
  <c r="I34" i="19"/>
  <c r="D34" i="19"/>
  <c r="C34" i="19"/>
  <c r="B24" i="19"/>
  <c r="D24" i="19"/>
  <c r="I24" i="19"/>
  <c r="C24" i="19"/>
  <c r="B29" i="19"/>
  <c r="I29" i="19"/>
  <c r="D29" i="19"/>
  <c r="C29" i="19"/>
  <c r="C42" i="19"/>
  <c r="D42" i="19"/>
  <c r="I42" i="19"/>
  <c r="B42" i="19"/>
  <c r="B49" i="19"/>
  <c r="C49" i="19"/>
  <c r="D49" i="19"/>
  <c r="I49" i="19"/>
  <c r="C41" i="19"/>
  <c r="B41" i="19"/>
  <c r="I41" i="19"/>
  <c r="D41" i="19"/>
  <c r="C36" i="19"/>
  <c r="D36" i="19"/>
  <c r="I36" i="19"/>
  <c r="B36" i="19"/>
  <c r="I32" i="19"/>
  <c r="D32" i="19"/>
  <c r="C32" i="19"/>
  <c r="B32" i="19"/>
  <c r="I37" i="19"/>
  <c r="B37" i="19"/>
  <c r="C37" i="19"/>
  <c r="D37" i="19"/>
  <c r="B10" i="19"/>
  <c r="D10" i="19" s="1"/>
  <c r="B20" i="19"/>
  <c r="C20" i="19" s="1"/>
  <c r="C53" i="19"/>
  <c r="I53" i="19"/>
  <c r="B53" i="19"/>
  <c r="D53" i="19"/>
  <c r="C44" i="19"/>
  <c r="D44" i="19"/>
  <c r="I44" i="19"/>
  <c r="B44" i="19"/>
  <c r="I40" i="19"/>
  <c r="C40" i="19"/>
  <c r="B40" i="19"/>
  <c r="D40" i="19"/>
  <c r="B4" i="19"/>
  <c r="C4" i="19" s="1"/>
  <c r="B15" i="19"/>
  <c r="I15" i="19" s="1"/>
  <c r="B28" i="19"/>
  <c r="I28" i="19"/>
  <c r="D28" i="19"/>
  <c r="C28" i="19"/>
  <c r="I22" i="19"/>
  <c r="C22" i="19"/>
  <c r="B22" i="19"/>
  <c r="D22" i="19"/>
  <c r="I52" i="19"/>
  <c r="D52" i="19"/>
  <c r="C52" i="19"/>
  <c r="B52" i="19"/>
  <c r="C48" i="19"/>
  <c r="I48" i="19"/>
  <c r="B48" i="19"/>
  <c r="D48" i="19"/>
  <c r="B13" i="19"/>
  <c r="C13" i="19" s="1"/>
  <c r="B38" i="19"/>
  <c r="C38" i="19"/>
  <c r="I38" i="19"/>
  <c r="D38" i="19"/>
  <c r="B16" i="19"/>
  <c r="I16" i="19" s="1"/>
  <c r="B5" i="19"/>
  <c r="D5" i="19" s="1"/>
  <c r="I43" i="19"/>
  <c r="C43" i="19"/>
  <c r="B43" i="19"/>
  <c r="D43" i="19"/>
  <c r="B12" i="19"/>
  <c r="C12" i="19" s="1"/>
  <c r="B23" i="19"/>
  <c r="C23" i="19"/>
  <c r="D23" i="19"/>
  <c r="I23" i="19"/>
  <c r="B19" i="19"/>
  <c r="I19" i="19" s="1"/>
  <c r="I27" i="19"/>
  <c r="C27" i="19"/>
  <c r="B27" i="19"/>
  <c r="D27" i="19"/>
  <c r="I31" i="19"/>
  <c r="D31" i="19"/>
  <c r="C31" i="19"/>
  <c r="B31" i="19"/>
  <c r="C35" i="19"/>
  <c r="I35" i="19"/>
  <c r="B35" i="19"/>
  <c r="D35" i="19"/>
  <c r="B17" i="19"/>
  <c r="C17" i="19" s="1"/>
  <c r="B14" i="19"/>
  <c r="I14" i="19" s="1"/>
  <c r="B39" i="19"/>
  <c r="C39" i="19"/>
  <c r="D39" i="19"/>
  <c r="I39" i="19"/>
  <c r="I51" i="19"/>
  <c r="C51" i="19"/>
  <c r="B51" i="19"/>
  <c r="D51" i="19"/>
  <c r="B50" i="19"/>
  <c r="C50" i="19"/>
  <c r="D50" i="19"/>
  <c r="I50" i="19"/>
  <c r="I47" i="19"/>
  <c r="D47" i="19"/>
  <c r="C47" i="19"/>
  <c r="B47" i="19"/>
  <c r="B30" i="19"/>
  <c r="I30" i="19"/>
  <c r="D30" i="19"/>
  <c r="C30" i="19"/>
  <c r="C25" i="19"/>
  <c r="B25" i="19"/>
  <c r="I25" i="19"/>
  <c r="D25" i="19"/>
  <c r="B18" i="19"/>
  <c r="I18" i="19" s="1"/>
  <c r="C46" i="19"/>
  <c r="D46" i="19"/>
  <c r="I46" i="19"/>
  <c r="B46" i="19"/>
  <c r="C21" i="19"/>
  <c r="B21" i="19"/>
  <c r="D21" i="19" s="1"/>
  <c r="I21" i="19"/>
  <c r="C26" i="19"/>
  <c r="D26" i="19"/>
  <c r="I26" i="19"/>
  <c r="B26" i="19"/>
  <c r="O46" i="21"/>
  <c r="J46" i="21" s="1"/>
  <c r="A46" i="21"/>
  <c r="A32" i="21"/>
  <c r="O32" i="21"/>
  <c r="J32" i="21" s="1"/>
  <c r="A22" i="21"/>
  <c r="O22" i="21"/>
  <c r="J22" i="21" s="1"/>
  <c r="O14" i="21"/>
  <c r="J14" i="21" s="1"/>
  <c r="A14" i="21"/>
  <c r="O37" i="21"/>
  <c r="J37" i="21" s="1"/>
  <c r="A37" i="21"/>
  <c r="O35" i="21"/>
  <c r="J35" i="21" s="1"/>
  <c r="A35" i="21"/>
  <c r="A50" i="21"/>
  <c r="O50" i="21"/>
  <c r="J50" i="21" s="1"/>
  <c r="O11" i="21"/>
  <c r="J11" i="21" s="1"/>
  <c r="A11" i="21"/>
  <c r="A47" i="21"/>
  <c r="O47" i="21"/>
  <c r="J47" i="21" s="1"/>
  <c r="A42" i="21"/>
  <c r="O42" i="21"/>
  <c r="J42" i="21" s="1"/>
  <c r="O36" i="21"/>
  <c r="J36" i="21" s="1"/>
  <c r="A36" i="21"/>
  <c r="O51" i="21"/>
  <c r="J51" i="21" s="1"/>
  <c r="A51" i="21"/>
  <c r="O20" i="21"/>
  <c r="J20" i="21" s="1"/>
  <c r="A20" i="21"/>
  <c r="A26" i="21"/>
  <c r="O26" i="21"/>
  <c r="J26" i="21" s="1"/>
  <c r="O22" i="18"/>
  <c r="J22" i="18" s="1"/>
  <c r="A22" i="18"/>
  <c r="O9" i="21"/>
  <c r="J9" i="21" s="1"/>
  <c r="A9" i="21"/>
  <c r="A7" i="21"/>
  <c r="O7" i="21"/>
  <c r="J7" i="21" s="1"/>
  <c r="O16" i="21"/>
  <c r="J16" i="21" s="1"/>
  <c r="A16" i="21"/>
  <c r="A30" i="21"/>
  <c r="O30" i="21"/>
  <c r="J30" i="21" s="1"/>
  <c r="O13" i="21"/>
  <c r="J13" i="21" s="1"/>
  <c r="A13" i="21"/>
  <c r="A21" i="21"/>
  <c r="O21" i="21"/>
  <c r="J21" i="21" s="1"/>
  <c r="A34" i="21"/>
  <c r="O34" i="21"/>
  <c r="J34" i="21" s="1"/>
  <c r="A25" i="21"/>
  <c r="O25" i="21"/>
  <c r="J25" i="21" s="1"/>
  <c r="O27" i="21"/>
  <c r="J27" i="21" s="1"/>
  <c r="A27" i="21"/>
  <c r="O15" i="21"/>
  <c r="J15" i="21" s="1"/>
  <c r="A15" i="21"/>
  <c r="O48" i="21"/>
  <c r="J48" i="21" s="1"/>
  <c r="A48" i="21"/>
  <c r="A31" i="21"/>
  <c r="O31" i="21"/>
  <c r="J31" i="21" s="1"/>
  <c r="A33" i="21"/>
  <c r="O33" i="21"/>
  <c r="J33" i="21" s="1"/>
  <c r="O52" i="21"/>
  <c r="J52" i="21" s="1"/>
  <c r="A52" i="21"/>
  <c r="O38" i="21"/>
  <c r="J38" i="21" s="1"/>
  <c r="A38" i="21"/>
  <c r="O45" i="21"/>
  <c r="J45" i="21" s="1"/>
  <c r="A45" i="21"/>
  <c r="O53" i="21"/>
  <c r="J53" i="21" s="1"/>
  <c r="A53" i="21"/>
  <c r="C16" i="19" l="1"/>
  <c r="D16" i="19"/>
  <c r="D8" i="21"/>
  <c r="C8" i="21"/>
  <c r="I5" i="21"/>
  <c r="I5" i="19"/>
  <c r="C5" i="19"/>
  <c r="D5" i="21"/>
  <c r="C15" i="19"/>
  <c r="D4" i="19"/>
  <c r="C10" i="19"/>
  <c r="I4" i="19"/>
  <c r="I10" i="19"/>
  <c r="C14" i="19"/>
  <c r="I13" i="19"/>
  <c r="I6" i="19"/>
  <c r="C6" i="19"/>
  <c r="C7" i="19"/>
  <c r="C18" i="19"/>
  <c r="D17" i="19"/>
  <c r="D19" i="19"/>
  <c r="I12" i="19"/>
  <c r="I20" i="19"/>
  <c r="D18" i="19"/>
  <c r="D14" i="19"/>
  <c r="I17" i="19"/>
  <c r="C19" i="19"/>
  <c r="D12" i="19"/>
  <c r="D13" i="19"/>
  <c r="D15" i="19"/>
  <c r="D20" i="19"/>
  <c r="D6" i="19"/>
  <c r="C11" i="19"/>
  <c r="I11" i="19"/>
  <c r="A6" i="19"/>
  <c r="D8" i="19"/>
  <c r="I8" i="19"/>
  <c r="I7" i="19"/>
  <c r="A7" i="19"/>
  <c r="O7" i="19"/>
  <c r="J7" i="19" s="1"/>
  <c r="A11" i="19"/>
  <c r="O11" i="19"/>
  <c r="J11" i="19" s="1"/>
  <c r="A8" i="21"/>
  <c r="O8" i="21"/>
  <c r="J8" i="21" s="1"/>
  <c r="O5" i="21"/>
  <c r="J5" i="21" s="1"/>
  <c r="A5" i="21"/>
  <c r="O8" i="19"/>
  <c r="J8" i="19" s="1"/>
  <c r="A8" i="19"/>
  <c r="A21" i="19"/>
  <c r="O21" i="19"/>
  <c r="J21" i="19" s="1"/>
  <c r="A18" i="19"/>
  <c r="O18" i="19"/>
  <c r="J18" i="19" s="1"/>
  <c r="O30" i="19"/>
  <c r="J30" i="19" s="1"/>
  <c r="A30" i="19"/>
  <c r="A50" i="19"/>
  <c r="O50" i="19"/>
  <c r="J50" i="19" s="1"/>
  <c r="O51" i="19"/>
  <c r="J51" i="19" s="1"/>
  <c r="A51" i="19"/>
  <c r="A39" i="19"/>
  <c r="O39" i="19"/>
  <c r="J39" i="19" s="1"/>
  <c r="O17" i="19"/>
  <c r="J17" i="19" s="1"/>
  <c r="A17" i="19"/>
  <c r="O35" i="19"/>
  <c r="J35" i="19" s="1"/>
  <c r="A35" i="19"/>
  <c r="O27" i="19"/>
  <c r="J27" i="19" s="1"/>
  <c r="A27" i="19"/>
  <c r="A19" i="19"/>
  <c r="O19" i="19"/>
  <c r="J19" i="19" s="1"/>
  <c r="O23" i="19"/>
  <c r="J23" i="19" s="1"/>
  <c r="A23" i="19"/>
  <c r="A12" i="19"/>
  <c r="O12" i="19"/>
  <c r="J12" i="19" s="1"/>
  <c r="A43" i="19"/>
  <c r="O43" i="19"/>
  <c r="J43" i="19" s="1"/>
  <c r="O38" i="19"/>
  <c r="J38" i="19" s="1"/>
  <c r="A38" i="19"/>
  <c r="A48" i="19"/>
  <c r="O48" i="19"/>
  <c r="J48" i="19" s="1"/>
  <c r="A22" i="19"/>
  <c r="O22" i="19"/>
  <c r="J22" i="19" s="1"/>
  <c r="O28" i="19"/>
  <c r="J28" i="19" s="1"/>
  <c r="A28" i="19"/>
  <c r="O40" i="19"/>
  <c r="J40" i="19" s="1"/>
  <c r="A40" i="19"/>
  <c r="A53" i="19"/>
  <c r="O53" i="19"/>
  <c r="J53" i="19" s="1"/>
  <c r="O20" i="19"/>
  <c r="J20" i="19" s="1"/>
  <c r="A20" i="19"/>
  <c r="A10" i="19"/>
  <c r="O10" i="19"/>
  <c r="J10" i="19" s="1"/>
  <c r="A49" i="19"/>
  <c r="O49" i="19"/>
  <c r="J49" i="19" s="1"/>
  <c r="A29" i="19"/>
  <c r="O29" i="19"/>
  <c r="J29" i="19" s="1"/>
  <c r="A24" i="19"/>
  <c r="O24" i="19"/>
  <c r="J24" i="19" s="1"/>
  <c r="O34" i="19"/>
  <c r="J34" i="19" s="1"/>
  <c r="A34" i="19"/>
  <c r="O45" i="19"/>
  <c r="J45" i="19" s="1"/>
  <c r="A45" i="19"/>
  <c r="O26" i="19"/>
  <c r="J26" i="19" s="1"/>
  <c r="A26" i="19"/>
  <c r="A46" i="19"/>
  <c r="O46" i="19"/>
  <c r="J46" i="19" s="1"/>
  <c r="O25" i="19"/>
  <c r="J25" i="19" s="1"/>
  <c r="A25" i="19"/>
  <c r="A47" i="19"/>
  <c r="O47" i="19"/>
  <c r="J47" i="19" s="1"/>
  <c r="O14" i="19"/>
  <c r="J14" i="19" s="1"/>
  <c r="A14" i="19"/>
  <c r="A31" i="19"/>
  <c r="O31" i="19"/>
  <c r="J31" i="19" s="1"/>
  <c r="O5" i="19"/>
  <c r="J5" i="19" s="1"/>
  <c r="A5" i="19"/>
  <c r="A16" i="19"/>
  <c r="O16" i="19"/>
  <c r="J16" i="19" s="1"/>
  <c r="A13" i="19"/>
  <c r="O13" i="19"/>
  <c r="J13" i="19" s="1"/>
  <c r="O52" i="19"/>
  <c r="J52" i="19" s="1"/>
  <c r="A52" i="19"/>
  <c r="A15" i="19"/>
  <c r="O15" i="19"/>
  <c r="J15" i="19" s="1"/>
  <c r="O4" i="19"/>
  <c r="J4" i="19" s="1"/>
  <c r="A4" i="19"/>
  <c r="A44" i="19"/>
  <c r="O44" i="19"/>
  <c r="J44" i="19" s="1"/>
  <c r="A37" i="19"/>
  <c r="O37" i="19"/>
  <c r="J37" i="19" s="1"/>
  <c r="A32" i="19"/>
  <c r="O32" i="19"/>
  <c r="J32" i="19" s="1"/>
  <c r="O36" i="19"/>
  <c r="J36" i="19" s="1"/>
  <c r="A36" i="19"/>
  <c r="A41" i="19"/>
  <c r="O41" i="19"/>
  <c r="J41" i="19" s="1"/>
  <c r="O42" i="19"/>
  <c r="J42" i="19" s="1"/>
  <c r="A42" i="19"/>
  <c r="O33" i="19"/>
  <c r="J33" i="19" s="1"/>
  <c r="A33" i="19"/>
</calcChain>
</file>

<file path=xl/sharedStrings.xml><?xml version="1.0" encoding="utf-8"?>
<sst xmlns="http://schemas.openxmlformats.org/spreadsheetml/2006/main" count="2432" uniqueCount="615">
  <si>
    <t>Фамилия</t>
  </si>
  <si>
    <t>Имя</t>
  </si>
  <si>
    <t>Город</t>
  </si>
  <si>
    <t>Команда / Клуб</t>
  </si>
  <si>
    <t>Рег. номер</t>
  </si>
  <si>
    <t>№ п/п</t>
  </si>
  <si>
    <t>Дата рождения</t>
  </si>
  <si>
    <t>Штраф (баллы)</t>
  </si>
  <si>
    <t>ДР</t>
  </si>
  <si>
    <t>Пол</t>
  </si>
  <si>
    <t>№</t>
  </si>
  <si>
    <t>Женский</t>
  </si>
  <si>
    <t>Мужской</t>
  </si>
  <si>
    <t>Лет</t>
  </si>
  <si>
    <t>Год</t>
  </si>
  <si>
    <t>Время (сек)</t>
  </si>
  <si>
    <t>Штраф (сек)</t>
  </si>
  <si>
    <t>Итоговое время</t>
  </si>
  <si>
    <t>Место</t>
  </si>
  <si>
    <t>RollerSchool</t>
  </si>
  <si>
    <t>Без команды</t>
  </si>
  <si>
    <t>Всего</t>
  </si>
  <si>
    <t>ФРСПО</t>
  </si>
  <si>
    <t>roller-ul</t>
  </si>
  <si>
    <t>Ульяновск</t>
  </si>
  <si>
    <t>roller club Ulyanovsk</t>
  </si>
  <si>
    <t xml:space="preserve"> </t>
  </si>
  <si>
    <t>Чичкин Евгений</t>
  </si>
  <si>
    <t>Матюшин Даниил</t>
  </si>
  <si>
    <t>Кузнецов Захар</t>
  </si>
  <si>
    <t>Беляков Макар</t>
  </si>
  <si>
    <t>Максимов Никита</t>
  </si>
  <si>
    <t>Кульпин Егор</t>
  </si>
  <si>
    <t>Голованова Ярославна</t>
  </si>
  <si>
    <t>Хальзова Светлана</t>
  </si>
  <si>
    <t>Style64</t>
  </si>
  <si>
    <t>Пенза</t>
  </si>
  <si>
    <t>Малахова Настя</t>
  </si>
  <si>
    <t>Тихонов Егор</t>
  </si>
  <si>
    <t>Дорохов Михаил</t>
  </si>
  <si>
    <t>Ушаков Максим</t>
  </si>
  <si>
    <t>Брянцев Артём</t>
  </si>
  <si>
    <t>Кирилко Даниил</t>
  </si>
  <si>
    <t>Зоткин Лев</t>
  </si>
  <si>
    <t>Самара</t>
  </si>
  <si>
    <t>Быков Никита</t>
  </si>
  <si>
    <t>Чучадеева Анастасия</t>
  </si>
  <si>
    <t>РШ "Samara Rollers"</t>
  </si>
  <si>
    <t>Крутиков Тимофей</t>
  </si>
  <si>
    <t>Кукушкина Анна</t>
  </si>
  <si>
    <t>MicroStyle64</t>
  </si>
  <si>
    <t>Потапов Роман</t>
  </si>
  <si>
    <t>Серова Таня</t>
  </si>
  <si>
    <t>Кропивенцев Юрий</t>
  </si>
  <si>
    <t>Анисимова Алисия</t>
  </si>
  <si>
    <t>Карякина Виктория</t>
  </si>
  <si>
    <t>Асташкин Павел</t>
  </si>
  <si>
    <t>Однаков Александр</t>
  </si>
  <si>
    <t>Авдеева Диана</t>
  </si>
  <si>
    <t>Москва</t>
  </si>
  <si>
    <t>Роллерклуб</t>
  </si>
  <si>
    <t>Ярославль</t>
  </si>
  <si>
    <t>Arcobaleno</t>
  </si>
  <si>
    <t>УТЦ ЭМВС Москомспорта</t>
  </si>
  <si>
    <t>РОЛЛ ШКОЛА</t>
  </si>
  <si>
    <t>Miniroller</t>
  </si>
  <si>
    <t>Владимир</t>
  </si>
  <si>
    <t>Rollerschool</t>
  </si>
  <si>
    <t>RollerFamily</t>
  </si>
  <si>
    <t>Красногорск</t>
  </si>
  <si>
    <t>ДЮСШ</t>
  </si>
  <si>
    <t>Orange school</t>
  </si>
  <si>
    <t>Мытищи</t>
  </si>
  <si>
    <t>Rollerschool Тигрята</t>
  </si>
  <si>
    <t>Одинцово</t>
  </si>
  <si>
    <t>Rollerschool-ВВЦ</t>
  </si>
  <si>
    <t>Спб</t>
  </si>
  <si>
    <t>World Class</t>
  </si>
  <si>
    <t>москва</t>
  </si>
  <si>
    <t>RollerSchool-ВВЦ</t>
  </si>
  <si>
    <t>мгфсо</t>
  </si>
  <si>
    <t>Smith Evelyn</t>
  </si>
  <si>
    <t>Азарова Виктория</t>
  </si>
  <si>
    <t>Антропов Александр</t>
  </si>
  <si>
    <t>Аферова Александра</t>
  </si>
  <si>
    <t>Бoзалп Сима</t>
  </si>
  <si>
    <t>Бoзалп Лиза</t>
  </si>
  <si>
    <t>Балюгина Ирина</t>
  </si>
  <si>
    <t>Баматтер-Родригес Ольга</t>
  </si>
  <si>
    <t>Бархотова Елизавета</t>
  </si>
  <si>
    <t>Барышников Владимир</t>
  </si>
  <si>
    <t>Бекетова Катя</t>
  </si>
  <si>
    <t>Беспалов Сергей</t>
  </si>
  <si>
    <t>Бобракова Алеся</t>
  </si>
  <si>
    <t>Бондарев Артур</t>
  </si>
  <si>
    <t>Борзов Антон</t>
  </si>
  <si>
    <t>Борисова Мария</t>
  </si>
  <si>
    <t>Бурмистров Олег</t>
  </si>
  <si>
    <t>Бурмистров Егор</t>
  </si>
  <si>
    <t>Бурмистрова Елизавета</t>
  </si>
  <si>
    <t>Василевский Марк</t>
  </si>
  <si>
    <t>Великанов Глеб</t>
  </si>
  <si>
    <t>Виноградова Софья</t>
  </si>
  <si>
    <t>Волгина Дарья</t>
  </si>
  <si>
    <t>Воронин Михаил</t>
  </si>
  <si>
    <t>Воронина Ангелина</t>
  </si>
  <si>
    <t>Высоцкая Дарья</t>
  </si>
  <si>
    <t>Высоцкий Антон</t>
  </si>
  <si>
    <t>Вьялкин Богдан</t>
  </si>
  <si>
    <t>Вьялкин Матвей</t>
  </si>
  <si>
    <t>Ганина Алиса</t>
  </si>
  <si>
    <t>Голованов Филипп</t>
  </si>
  <si>
    <t>Голованов Виктор</t>
  </si>
  <si>
    <t>Голышев Кирилл</t>
  </si>
  <si>
    <t>Голышев Егор</t>
  </si>
  <si>
    <t>Грачёва Полина</t>
  </si>
  <si>
    <t>Григорьева Ксения</t>
  </si>
  <si>
    <t>Григорьева Екатерина</t>
  </si>
  <si>
    <t>Григорян Георгий</t>
  </si>
  <si>
    <t>Гришанцев Владислав</t>
  </si>
  <si>
    <t>Грузинов Сергей</t>
  </si>
  <si>
    <t>Гусарова Елизавета</t>
  </si>
  <si>
    <t>Гусев Дмитрий</t>
  </si>
  <si>
    <t>Данилов Марк</t>
  </si>
  <si>
    <t>Добровольский Федор</t>
  </si>
  <si>
    <t>Егоров Дмитрий</t>
  </si>
  <si>
    <t>Ефремова Аня</t>
  </si>
  <si>
    <t>Жихарева Анна</t>
  </si>
  <si>
    <t>Жуковин Дмитрий</t>
  </si>
  <si>
    <t>Жукова Дарья</t>
  </si>
  <si>
    <t>Заболотина Таисия</t>
  </si>
  <si>
    <t>Зотова Делли</t>
  </si>
  <si>
    <t>Зубанов Глеб</t>
  </si>
  <si>
    <t>Иваненко Елизавета</t>
  </si>
  <si>
    <t>Иванова Инесса</t>
  </si>
  <si>
    <t>Казакевич Дмитрий</t>
  </si>
  <si>
    <t>Каратеева Мария</t>
  </si>
  <si>
    <t>Кац Илья</t>
  </si>
  <si>
    <t>Кац Ксения</t>
  </si>
  <si>
    <t>Кипчатов Петр</t>
  </si>
  <si>
    <t>Киреев Егор</t>
  </si>
  <si>
    <t>Киреев Миша</t>
  </si>
  <si>
    <t>Кияшко Богдан</t>
  </si>
  <si>
    <t>Клименко Александр</t>
  </si>
  <si>
    <t>Климов Александр</t>
  </si>
  <si>
    <t>Кодылева Анастасия</t>
  </si>
  <si>
    <t>Константинов Ярослав</t>
  </si>
  <si>
    <t>Копотов Глеб</t>
  </si>
  <si>
    <t>Кузин Дмитрий</t>
  </si>
  <si>
    <t>Кузина Мария</t>
  </si>
  <si>
    <t>Кузнецова Валерия</t>
  </si>
  <si>
    <t>Кулагина Настя</t>
  </si>
  <si>
    <t>Курилович Леонид</t>
  </si>
  <si>
    <t>Лазарев Михаил</t>
  </si>
  <si>
    <t>Леваднюк Максим</t>
  </si>
  <si>
    <t>Литвинова Дарья</t>
  </si>
  <si>
    <t>Локалов Илья</t>
  </si>
  <si>
    <t>Лякишев Василий</t>
  </si>
  <si>
    <t>Максимов Лев</t>
  </si>
  <si>
    <t>Максимова Эвелина</t>
  </si>
  <si>
    <t>Малиновский Тимофей</t>
  </si>
  <si>
    <t>Мартынов Степан</t>
  </si>
  <si>
    <t>Меликов Артем</t>
  </si>
  <si>
    <t>Меликова Алла</t>
  </si>
  <si>
    <t>Милованов Максим</t>
  </si>
  <si>
    <t>Мироненко Мария</t>
  </si>
  <si>
    <t>Миронова Милена</t>
  </si>
  <si>
    <t>Михашонок Максим</t>
  </si>
  <si>
    <t>Мишин Георгий</t>
  </si>
  <si>
    <t>Морозова Анна</t>
  </si>
  <si>
    <t>Мыльцев Георгий</t>
  </si>
  <si>
    <t>Наконечный Роман</t>
  </si>
  <si>
    <t>Науменко Дмитрий</t>
  </si>
  <si>
    <t>Никифорова Стефания</t>
  </si>
  <si>
    <t>Новожилов Артём</t>
  </si>
  <si>
    <t>Нодь Платон</t>
  </si>
  <si>
    <t>Нодь Соня</t>
  </si>
  <si>
    <t>Норик Лилия</t>
  </si>
  <si>
    <t>Объедков Николай</t>
  </si>
  <si>
    <t>Оверчук Янина</t>
  </si>
  <si>
    <t>Озиралин Никита</t>
  </si>
  <si>
    <t>Ошурков Сергей</t>
  </si>
  <si>
    <t>Петренко Максим</t>
  </si>
  <si>
    <t>Петренко Софья</t>
  </si>
  <si>
    <t>Петрухина Анна</t>
  </si>
  <si>
    <t>Петрушенкова Яна</t>
  </si>
  <si>
    <t>Пикановская Дарья</t>
  </si>
  <si>
    <t>Пикановская Вероника</t>
  </si>
  <si>
    <t>Подвальная Катерина</t>
  </si>
  <si>
    <t>Полканов Андрей</t>
  </si>
  <si>
    <t>Радченко Юля</t>
  </si>
  <si>
    <t>Радьков Матвей</t>
  </si>
  <si>
    <t>Рауш Мирослав</t>
  </si>
  <si>
    <t>Ривонченкова Анна</t>
  </si>
  <si>
    <t>Романов Матвей</t>
  </si>
  <si>
    <t>Романюк Анастасия</t>
  </si>
  <si>
    <t>Рыжков Егор</t>
  </si>
  <si>
    <t>Рыжкова Елизавета</t>
  </si>
  <si>
    <t>Савельева Мария</t>
  </si>
  <si>
    <t>Сафаров Георгий</t>
  </si>
  <si>
    <t>Селезнева Мария</t>
  </si>
  <si>
    <t>Семенихин Егор</t>
  </si>
  <si>
    <t>Сергеева Наталья</t>
  </si>
  <si>
    <t>Сидорина Дарья</t>
  </si>
  <si>
    <t>Сидоров Александр</t>
  </si>
  <si>
    <t>Сидорова Софья</t>
  </si>
  <si>
    <t>Скурихин Вячеслав</t>
  </si>
  <si>
    <t>Смирнова Аня</t>
  </si>
  <si>
    <t>Смычников Иван</t>
  </si>
  <si>
    <t>Степанов Максим</t>
  </si>
  <si>
    <t>Степанова Виктория</t>
  </si>
  <si>
    <t>Стояновская Мария</t>
  </si>
  <si>
    <t>Суворова Лена</t>
  </si>
  <si>
    <t>Тараканов Михаил</t>
  </si>
  <si>
    <t>Тимощук Степан</t>
  </si>
  <si>
    <t>Ткачев Владимир</t>
  </si>
  <si>
    <t>Толстов Данила</t>
  </si>
  <si>
    <t>Топоров Анатолий</t>
  </si>
  <si>
    <t>Тюхтяев Гаврил</t>
  </si>
  <si>
    <t>Филиппов Мирон</t>
  </si>
  <si>
    <t>Цепелев Сергей</t>
  </si>
  <si>
    <t>Чагаев Константин</t>
  </si>
  <si>
    <t>Черепанова Василиса</t>
  </si>
  <si>
    <t>Чернев Максим</t>
  </si>
  <si>
    <t>Черникова Валерия</t>
  </si>
  <si>
    <t>Чистяков Егор</t>
  </si>
  <si>
    <t>Шараби Даниэль</t>
  </si>
  <si>
    <t>Шилов Тимофей</t>
  </si>
  <si>
    <t>Шишкин Арсений</t>
  </si>
  <si>
    <t>Шкиров Дмитрий</t>
  </si>
  <si>
    <t>Штейнцайг Екатерина</t>
  </si>
  <si>
    <t>Эрмиш Сергей</t>
  </si>
  <si>
    <t>Яковлев Влад</t>
  </si>
  <si>
    <t>Романова Катя</t>
  </si>
  <si>
    <t>Лазарев Григорий</t>
  </si>
  <si>
    <t>Корочкин Егор</t>
  </si>
  <si>
    <t>Капустина Анастасия</t>
  </si>
  <si>
    <t>Гаврюшов Максим</t>
  </si>
  <si>
    <t>Храпов Егор</t>
  </si>
  <si>
    <t>Алексеева Марина</t>
  </si>
  <si>
    <t>Алексеева Алёна</t>
  </si>
  <si>
    <t>Бабаева Виктория</t>
  </si>
  <si>
    <t>Белавинский Кирилл</t>
  </si>
  <si>
    <t>Белавинский Григорий</t>
  </si>
  <si>
    <t>Белялова Дарья</t>
  </si>
  <si>
    <t>Бивол Адриан</t>
  </si>
  <si>
    <t>Борисова Алиса</t>
  </si>
  <si>
    <t>Варламова Ксения</t>
  </si>
  <si>
    <t>Денисова Полина</t>
  </si>
  <si>
    <t>Елисеев Максим</t>
  </si>
  <si>
    <t>Емельянов Александр</t>
  </si>
  <si>
    <t>Закржевская Дарья</t>
  </si>
  <si>
    <t>Ионов Вадим</t>
  </si>
  <si>
    <t>Кирсанова Ангелина</t>
  </si>
  <si>
    <t>Козловская Ольга</t>
  </si>
  <si>
    <t>Козловская Александра</t>
  </si>
  <si>
    <t>Котельников Тимур</t>
  </si>
  <si>
    <t>Котельникова Диана</t>
  </si>
  <si>
    <t>Кривошеева Татьяна</t>
  </si>
  <si>
    <t>Крысанова Ангелина</t>
  </si>
  <si>
    <t>Легина Мария</t>
  </si>
  <si>
    <t>Макарова Елизавета</t>
  </si>
  <si>
    <t>Никитин Данил</t>
  </si>
  <si>
    <t>Погорелов Владислав</t>
  </si>
  <si>
    <t>Савченко Константин</t>
  </si>
  <si>
    <t>Смирных Елизавета</t>
  </si>
  <si>
    <t>Тумандеев Данил</t>
  </si>
  <si>
    <t>Умарова Алина</t>
  </si>
  <si>
    <t>Хорев Кирилл</t>
  </si>
  <si>
    <t>Шаво-Дюпа Филипп</t>
  </si>
  <si>
    <t>Юнусов Булат</t>
  </si>
  <si>
    <t>Головко Арина</t>
  </si>
  <si>
    <t>Булина Полина</t>
  </si>
  <si>
    <t>Басаргин Артем</t>
  </si>
  <si>
    <t>Баширова Сабина</t>
  </si>
  <si>
    <t>Бекетова Екатерина</t>
  </si>
  <si>
    <t>Бугаев Ярослав</t>
  </si>
  <si>
    <t>Варзанов Александр</t>
  </si>
  <si>
    <t>Васанова Алиса</t>
  </si>
  <si>
    <t>Волненко Антон</t>
  </si>
  <si>
    <t>Волненко Александр</t>
  </si>
  <si>
    <t>Воробьев Даниил</t>
  </si>
  <si>
    <t>Воробьева Светлана</t>
  </si>
  <si>
    <t>Воронцова Ксения</t>
  </si>
  <si>
    <t>Воропаев Виктор</t>
  </si>
  <si>
    <t>Гаврилов Никита</t>
  </si>
  <si>
    <t>Глазунова Екатерина</t>
  </si>
  <si>
    <t>Горностаев Юрий</t>
  </si>
  <si>
    <t>Громоченко Ульяна</t>
  </si>
  <si>
    <t>Дубинчик Ксения</t>
  </si>
  <si>
    <t>Дубинчик Наталья</t>
  </si>
  <si>
    <t>Жданова Софья</t>
  </si>
  <si>
    <t>Жданова Дарья</t>
  </si>
  <si>
    <t>Жульков Михаил</t>
  </si>
  <si>
    <t>Жулькова Мария</t>
  </si>
  <si>
    <t>Заворовская Арина</t>
  </si>
  <si>
    <t>Зенкова Анастасия</t>
  </si>
  <si>
    <t>Зуева Анастасия</t>
  </si>
  <si>
    <t>Иванова Дарья</t>
  </si>
  <si>
    <t>Исмаилов Степан</t>
  </si>
  <si>
    <t>Казаков Денис</t>
  </si>
  <si>
    <t>Казаков Максим</t>
  </si>
  <si>
    <t>Киселев Роман</t>
  </si>
  <si>
    <t>Киселева Анна</t>
  </si>
  <si>
    <t>Ключникова Дарья</t>
  </si>
  <si>
    <t>Ковальчук Ирина</t>
  </si>
  <si>
    <t>Козлова Валерия</t>
  </si>
  <si>
    <t>Комиссарова Юлия</t>
  </si>
  <si>
    <t>Коротеева Маша</t>
  </si>
  <si>
    <t>Красновская Дарья</t>
  </si>
  <si>
    <t>Кузнецова Дарья</t>
  </si>
  <si>
    <t>Кузьмин Максим</t>
  </si>
  <si>
    <t>Лапко Олег</t>
  </si>
  <si>
    <t>Левкин Глеб</t>
  </si>
  <si>
    <t>Лиходеев Алексей</t>
  </si>
  <si>
    <t>Малярова Дарья</t>
  </si>
  <si>
    <t>Манин Лев</t>
  </si>
  <si>
    <t>Мархгейм Михаил</t>
  </si>
  <si>
    <t>Мачина Светлана</t>
  </si>
  <si>
    <t>Меркушова Екатерина</t>
  </si>
  <si>
    <t>Минин Арсений</t>
  </si>
  <si>
    <t>Мохов Кирилл</t>
  </si>
  <si>
    <t>Мушихин Никита</t>
  </si>
  <si>
    <t>Мясникова Полина</t>
  </si>
  <si>
    <t>Недилько Елизавета</t>
  </si>
  <si>
    <t>Новокрещенова Виктория</t>
  </si>
  <si>
    <t>Объедкова Елизавета</t>
  </si>
  <si>
    <t>Орлова Вероника</t>
  </si>
  <si>
    <t>Пантюхин Лев</t>
  </si>
  <si>
    <t>Пантюхина Ника</t>
  </si>
  <si>
    <t>Первухина Милана</t>
  </si>
  <si>
    <t>Пешков Иван</t>
  </si>
  <si>
    <t>Полянская Елизавета</t>
  </si>
  <si>
    <t>Потапова Дарья</t>
  </si>
  <si>
    <t>Пронькина Александра</t>
  </si>
  <si>
    <t>Раживин Даниил</t>
  </si>
  <si>
    <t>Рогинко Алла</t>
  </si>
  <si>
    <t>Рыбьяков Даниил</t>
  </si>
  <si>
    <t>Сажина Мария</t>
  </si>
  <si>
    <t>Семевич Карина</t>
  </si>
  <si>
    <t>Симоненков Данил</t>
  </si>
  <si>
    <t>Смехова Мария</t>
  </si>
  <si>
    <t>Смит Эвелин</t>
  </si>
  <si>
    <t>Соколов Алексей</t>
  </si>
  <si>
    <t>Соколов Кирилл</t>
  </si>
  <si>
    <t>Сорокопуд Глеб</t>
  </si>
  <si>
    <t>Спирина Ольга</t>
  </si>
  <si>
    <t>Степанов Юрий</t>
  </si>
  <si>
    <t>Степанов Марк</t>
  </si>
  <si>
    <t>Степанова Екатерина</t>
  </si>
  <si>
    <t>Стулов Иван</t>
  </si>
  <si>
    <t>Суздальцев Петр</t>
  </si>
  <si>
    <t>Суздальцева Алиса</t>
  </si>
  <si>
    <t>Тимченко Сергей</t>
  </si>
  <si>
    <t>Тонин Егор</t>
  </si>
  <si>
    <t>Тюник Алёна</t>
  </si>
  <si>
    <t>Фармаковская Мария</t>
  </si>
  <si>
    <t>Фомичев Федор</t>
  </si>
  <si>
    <t>Фомичева Анна</t>
  </si>
  <si>
    <t>Чижова Елизавета</t>
  </si>
  <si>
    <t>Чижова Соня</t>
  </si>
  <si>
    <t>Шестериков Артем</t>
  </si>
  <si>
    <t>Шкода Иван</t>
  </si>
  <si>
    <t>Яковлев Владислав</t>
  </si>
  <si>
    <t>Яшенков Степан</t>
  </si>
  <si>
    <t>Яшенков Тимофей</t>
  </si>
  <si>
    <t>Белина Мария</t>
  </si>
  <si>
    <t>Борисов Дмитрий</t>
  </si>
  <si>
    <t>Кочнев Валерий</t>
  </si>
  <si>
    <t>Ильина София</t>
  </si>
  <si>
    <t>Жулов Артём</t>
  </si>
  <si>
    <t>Жулов Кирилл</t>
  </si>
  <si>
    <t>Покричук Кирилл</t>
  </si>
  <si>
    <t>Федосеева Злата</t>
  </si>
  <si>
    <t>Сабирова Рената</t>
  </si>
  <si>
    <t>Петров Тимофей</t>
  </si>
  <si>
    <t>Косович Софья</t>
  </si>
  <si>
    <t>Трубников Юрий</t>
  </si>
  <si>
    <t>Соколовская Арина</t>
  </si>
  <si>
    <t>Давлетшина Софья</t>
  </si>
  <si>
    <t>Иванов Никита</t>
  </si>
  <si>
    <t>Давлетшина Динара</t>
  </si>
  <si>
    <t>Засулевич Артём</t>
  </si>
  <si>
    <t>Петрова Станислава</t>
  </si>
  <si>
    <t>Захарова Дана</t>
  </si>
  <si>
    <t>Николаева Алиса</t>
  </si>
  <si>
    <t>Королёв Валерий</t>
  </si>
  <si>
    <t>Королёва Кристина</t>
  </si>
  <si>
    <t>Жукова Марина</t>
  </si>
  <si>
    <t>Кант</t>
  </si>
  <si>
    <t>Детские соревнования "Kids Roller Race" в Москве</t>
  </si>
  <si>
    <t>Протокол детских соревнований "KidsRoller Race" в Москве 01.06.2014</t>
  </si>
  <si>
    <t>Белугин Иван</t>
  </si>
  <si>
    <t>Степанян Марк</t>
  </si>
  <si>
    <t>Кулик Никита</t>
  </si>
  <si>
    <t>Ужва Алексей</t>
  </si>
  <si>
    <t>Д/с Лапушка</t>
  </si>
  <si>
    <t>Мелешин Михаил</t>
  </si>
  <si>
    <t>Мелешин Юрий</t>
  </si>
  <si>
    <t>Скулачев Михаил</t>
  </si>
  <si>
    <t>Щелканов Сергей</t>
  </si>
  <si>
    <t>Баранова Валентина</t>
  </si>
  <si>
    <t>Буряченко Полина</t>
  </si>
  <si>
    <t>Косцов Кирилл</t>
  </si>
  <si>
    <t>Ионова Полина</t>
  </si>
  <si>
    <t>Аверкин Григорий</t>
  </si>
  <si>
    <t>Москомспорт</t>
  </si>
  <si>
    <t>Аверкина Евфросиния</t>
  </si>
  <si>
    <t>Проворотов Дмитрий</t>
  </si>
  <si>
    <t>Антонец Елена</t>
  </si>
  <si>
    <t>Афонин Григорий</t>
  </si>
  <si>
    <t>Бадеев Илья</t>
  </si>
  <si>
    <t>Бакуменко Глеб</t>
  </si>
  <si>
    <t>Бакуменко Даниил</t>
  </si>
  <si>
    <t>Барышникова Александра</t>
  </si>
  <si>
    <t>РКР</t>
  </si>
  <si>
    <t>Богданова Софья</t>
  </si>
  <si>
    <t>Никулин Евгений</t>
  </si>
  <si>
    <t>Бочарова Кристина</t>
  </si>
  <si>
    <t>Булычёва Александра</t>
  </si>
  <si>
    <t>Arcobaleno club</t>
  </si>
  <si>
    <t>УТЦ ЭМВС, ЦО 1421</t>
  </si>
  <si>
    <t>Гаврилов Максим</t>
  </si>
  <si>
    <t>Гараев Максим</t>
  </si>
  <si>
    <t>роллерспорт</t>
  </si>
  <si>
    <t>Глухова Елизавета</t>
  </si>
  <si>
    <t>Саратов</t>
  </si>
  <si>
    <t>Головлёв Андрей</t>
  </si>
  <si>
    <t>Голубовский Степан</t>
  </si>
  <si>
    <t>Горопцев Никита</t>
  </si>
  <si>
    <t>Гороховец Елизавета</t>
  </si>
  <si>
    <t>Горшков Миша</t>
  </si>
  <si>
    <t>Грачёв Глеб</t>
  </si>
  <si>
    <t>Грачёва Софья</t>
  </si>
  <si>
    <t>Дмитриев Ян</t>
  </si>
  <si>
    <t>Дрёмова Арина</t>
  </si>
  <si>
    <t>Дронов Никита</t>
  </si>
  <si>
    <t>Дронова Евангелина</t>
  </si>
  <si>
    <t>Жарина Анна</t>
  </si>
  <si>
    <t>Жуков Тимофей</t>
  </si>
  <si>
    <t>Забирова Аделина</t>
  </si>
  <si>
    <t>Зубаревич Анастасия</t>
  </si>
  <si>
    <t>Зубаревич Елизавета</t>
  </si>
  <si>
    <t>Ивлева Екатерина</t>
  </si>
  <si>
    <t>Балашиха</t>
  </si>
  <si>
    <t>нет</t>
  </si>
  <si>
    <t>Карцев Даниил</t>
  </si>
  <si>
    <t>Карцева Ярослава</t>
  </si>
  <si>
    <t>Касимова Лика</t>
  </si>
  <si>
    <t>дер. Медвежьи Озера МО</t>
  </si>
  <si>
    <t>Конаков Никита</t>
  </si>
  <si>
    <t>Корниенко Лана</t>
  </si>
  <si>
    <t>Корнилаев Иван</t>
  </si>
  <si>
    <t>Корнилова Яна</t>
  </si>
  <si>
    <t>Кропачёва Екатерина</t>
  </si>
  <si>
    <t>Кудрявцев Иван</t>
  </si>
  <si>
    <t>Seba</t>
  </si>
  <si>
    <t>Кулагин Николай</t>
  </si>
  <si>
    <t>Нижний Новгород</t>
  </si>
  <si>
    <t>rollerschool</t>
  </si>
  <si>
    <t>Куркина Варвара</t>
  </si>
  <si>
    <t>Кутузов Михаил</t>
  </si>
  <si>
    <t>Лебедев Тимофей</t>
  </si>
  <si>
    <t>Реутов</t>
  </si>
  <si>
    <t>Малахова Анастасия</t>
  </si>
  <si>
    <t>RollerLine</t>
  </si>
  <si>
    <t>Марсаков Илья</t>
  </si>
  <si>
    <t>Дзержинский</t>
  </si>
  <si>
    <t>Метт Валерия</t>
  </si>
  <si>
    <t>Пушкино</t>
  </si>
  <si>
    <t>Наумова Мария</t>
  </si>
  <si>
    <t>Несефоров Владислав</t>
  </si>
  <si>
    <t>Нецветаев Илья</t>
  </si>
  <si>
    <t>Нецветаева Елизавета</t>
  </si>
  <si>
    <t>Никитина Ксения</t>
  </si>
  <si>
    <t>Николаева Екатерина</t>
  </si>
  <si>
    <t>Нуртдинов Наиль</t>
  </si>
  <si>
    <t>Павленко Полина</t>
  </si>
  <si>
    <t>Петракова Зоя</t>
  </si>
  <si>
    <t>Прохоров Арсений</t>
  </si>
  <si>
    <t>Подольск</t>
  </si>
  <si>
    <t>Роллер школа</t>
  </si>
  <si>
    <t>Рудкевич Гриша</t>
  </si>
  <si>
    <t>Саваренская Юлия</t>
  </si>
  <si>
    <t>Секретева Надежда</t>
  </si>
  <si>
    <t>Rollerschool/Москомспорт</t>
  </si>
  <si>
    <t>Симакин Александр</t>
  </si>
  <si>
    <t>Симоненков Данила</t>
  </si>
  <si>
    <t>Лондон-Москва</t>
  </si>
  <si>
    <t>Roller school</t>
  </si>
  <si>
    <t>ВОМОО "АЭВС"</t>
  </si>
  <si>
    <t>Соловьев Артем</t>
  </si>
  <si>
    <t>Сперантова Ирина</t>
  </si>
  <si>
    <t>Степанов Кирилл</t>
  </si>
  <si>
    <t>Степанова Карина</t>
  </si>
  <si>
    <t>Суровцев Пётр</t>
  </si>
  <si>
    <t>Суровцева Ксения</t>
  </si>
  <si>
    <t>Танцюра Александр</t>
  </si>
  <si>
    <t>Тимофеев Илья</t>
  </si>
  <si>
    <t>Rollerschool,TimTeam</t>
  </si>
  <si>
    <t>Торохова Елизавета</t>
  </si>
  <si>
    <t>Туманов Иван</t>
  </si>
  <si>
    <t>Уткина Анастасия</t>
  </si>
  <si>
    <t>Orange School</t>
  </si>
  <si>
    <t>Фахуртдинов Назар</t>
  </si>
  <si>
    <t>Фахуртдинов Тимур</t>
  </si>
  <si>
    <t>Фёдоров Максим</t>
  </si>
  <si>
    <t>Фёдоров Ярослав</t>
  </si>
  <si>
    <t>Федотова Линда</t>
  </si>
  <si>
    <t>Федотова Ника</t>
  </si>
  <si>
    <t>Филатов Егор</t>
  </si>
  <si>
    <t>Филатова Кристина</t>
  </si>
  <si>
    <t>Хантя Александра</t>
  </si>
  <si>
    <t>Цецохо София</t>
  </si>
  <si>
    <t>Чагаев Егор</t>
  </si>
  <si>
    <t>Юркина Агата</t>
  </si>
  <si>
    <t>Явкина Екатерина</t>
  </si>
  <si>
    <t>Радченко Юлия</t>
  </si>
  <si>
    <t>Эргюн Тимур</t>
  </si>
  <si>
    <t>Брызгалова Мария</t>
  </si>
  <si>
    <t>Паршин Дмитрий</t>
  </si>
  <si>
    <t>Рымар Никита</t>
  </si>
  <si>
    <t>Малышев Максим</t>
  </si>
  <si>
    <t>Рыжкова Ксения</t>
  </si>
  <si>
    <t>Егоров Никита</t>
  </si>
  <si>
    <t>Дегтерёв Александр</t>
  </si>
  <si>
    <t>Дегтерёв Никита</t>
  </si>
  <si>
    <t>Перчёнок Алиса</t>
  </si>
  <si>
    <t>Логвиненко Ксения</t>
  </si>
  <si>
    <t>Осипова Юлия</t>
  </si>
  <si>
    <t>Бабаханова Дарья</t>
  </si>
  <si>
    <t>Серова Алиса</t>
  </si>
  <si>
    <t>Журавлёва Юлия</t>
  </si>
  <si>
    <t>Нусратов Ориф</t>
  </si>
  <si>
    <t>Кабанов Роман</t>
  </si>
  <si>
    <t>Рыбакова Ксения</t>
  </si>
  <si>
    <t>Климакина Екатерина</t>
  </si>
  <si>
    <t>Григорьев Никита</t>
  </si>
  <si>
    <t>Санкт-Петербург</t>
  </si>
  <si>
    <t>Аглиуллова Ольга</t>
  </si>
  <si>
    <t>Филоненко Григорий</t>
  </si>
  <si>
    <t>Павлюк Дмитрий</t>
  </si>
  <si>
    <t>Усаева Луиза</t>
  </si>
  <si>
    <t>Сабанов Аслан</t>
  </si>
  <si>
    <t>Мочалова Екатерина</t>
  </si>
  <si>
    <t>Лисин Илья</t>
  </si>
  <si>
    <t>Щеменок Глеб</t>
  </si>
  <si>
    <t>Бутово роллер</t>
  </si>
  <si>
    <t>Демин Александр</t>
  </si>
  <si>
    <t>Freeskate.su</t>
  </si>
  <si>
    <t>Ясыр Ольга</t>
  </si>
  <si>
    <t>Палаткин Артём</t>
  </si>
  <si>
    <t>Палаткин Андрей</t>
  </si>
  <si>
    <t>Жаков Сергей</t>
  </si>
  <si>
    <t>Садчикова Екатерина</t>
  </si>
  <si>
    <t>Елена Ерёменко</t>
  </si>
  <si>
    <t>Садовская Галина</t>
  </si>
  <si>
    <t>Наниева Кира</t>
  </si>
  <si>
    <t>Rollerclub</t>
  </si>
  <si>
    <t>Котельников Клим</t>
  </si>
  <si>
    <t>Ворновицкий Даниил</t>
  </si>
  <si>
    <t>Подвальная Екатерина</t>
  </si>
  <si>
    <t>Григорьев Степан</t>
  </si>
  <si>
    <t>Ваганова София</t>
  </si>
  <si>
    <t>Шиян Надежда</t>
  </si>
  <si>
    <t>Немковская Анастасия</t>
  </si>
  <si>
    <t>Матвеева Полина</t>
  </si>
  <si>
    <t>Крапивной Кирилл</t>
  </si>
  <si>
    <t>Орлова Екатерина</t>
  </si>
  <si>
    <t>Ночевнова Кристина</t>
  </si>
  <si>
    <t>Ночевнова Ульяна</t>
  </si>
  <si>
    <t>Абрамович Полина</t>
  </si>
  <si>
    <t>UNITY</t>
  </si>
  <si>
    <t>RollerPride</t>
  </si>
  <si>
    <t>Скворцова Юля</t>
  </si>
  <si>
    <t>Козлов Арсений</t>
  </si>
  <si>
    <t>Некрасова Дарья</t>
  </si>
  <si>
    <t>Максимова Олеся</t>
  </si>
  <si>
    <t>Зубков Вадим</t>
  </si>
  <si>
    <t>Сокова Влада</t>
  </si>
  <si>
    <t>Сокова Валерия</t>
  </si>
  <si>
    <t>Юсов Артем</t>
  </si>
  <si>
    <t>Богоявленская Маргарита</t>
  </si>
  <si>
    <t>Богоявленская Александра</t>
  </si>
  <si>
    <t>Гашук Софья</t>
  </si>
  <si>
    <t/>
  </si>
  <si>
    <t>Максимов Артём</t>
  </si>
  <si>
    <t>Пандази Анна</t>
  </si>
  <si>
    <t>Горшков Михаил</t>
  </si>
  <si>
    <t>Первак Юрий</t>
  </si>
  <si>
    <t>Ганичева Дарья</t>
  </si>
  <si>
    <t>Команды / Школы</t>
  </si>
  <si>
    <t>Рег.</t>
  </si>
  <si>
    <t>Участ.</t>
  </si>
  <si>
    <t>Иванова Янина</t>
  </si>
  <si>
    <t>Jerzy</t>
  </si>
  <si>
    <t>Харитонова Мария</t>
  </si>
  <si>
    <t>Кузнецова Варя</t>
  </si>
  <si>
    <t>Агапитова Анастасия</t>
  </si>
  <si>
    <t>Мурманск</t>
  </si>
  <si>
    <t>Зинько Тимофей</t>
  </si>
  <si>
    <t>Зиннатуллина Регина</t>
  </si>
  <si>
    <t>Мубинова Софья</t>
  </si>
  <si>
    <t>Жибоедова Екатерина</t>
  </si>
  <si>
    <t>Хисаметдинова Динара</t>
  </si>
  <si>
    <t>Игнатьева Ева</t>
  </si>
  <si>
    <t xml:space="preserve">Ульяновск </t>
  </si>
  <si>
    <t>Семёнов Матвей</t>
  </si>
  <si>
    <t>Погорелов Илья</t>
  </si>
  <si>
    <t>Цопанов Герман</t>
  </si>
  <si>
    <t>Замалдинова Камилла</t>
  </si>
  <si>
    <t>Соболева Яна</t>
  </si>
  <si>
    <t>Сорокин Алексей</t>
  </si>
  <si>
    <t>Обидова Аниса</t>
  </si>
  <si>
    <t>Максимов Артем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</si>
</sst>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theme="0"/>
      <name val="Arial Cyr"/>
      <charset val="204"/>
    </font>
    <font>
      <b/>
      <sz val="10"/>
      <color theme="0"/>
      <name val="Arial Cyr"/>
      <charset val="204"/>
    </font>
    <font>
      <b/>
      <sz val="10"/>
      <color theme="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indent="1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 indent="1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justify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" fillId="0" borderId="0" xfId="0" applyFont="1" applyFill="1" applyBorder="1"/>
    <xf numFmtId="0" fontId="7" fillId="2" borderId="8" xfId="0" applyFont="1" applyFill="1" applyBorder="1" applyAlignment="1">
      <alignment horizontal="center" vertical="center" wrapText="1"/>
    </xf>
    <xf numFmtId="14" fontId="7" fillId="2" borderId="9" xfId="0" applyNumberFormat="1" applyFont="1" applyFill="1" applyBorder="1" applyAlignment="1">
      <alignment horizontal="center" vertical="center" wrapText="1"/>
    </xf>
    <xf numFmtId="14" fontId="7" fillId="2" borderId="1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164" fontId="7" fillId="3" borderId="14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7" fillId="3" borderId="15" xfId="0" applyNumberFormat="1" applyFont="1" applyFill="1" applyBorder="1" applyAlignment="1">
      <alignment horizontal="center" vertical="center" wrapText="1"/>
    </xf>
    <xf numFmtId="0" fontId="7" fillId="3" borderId="16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0" fontId="7" fillId="2" borderId="8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indent="1"/>
    </xf>
    <xf numFmtId="0" fontId="7" fillId="2" borderId="11" xfId="0" applyFont="1" applyFill="1" applyBorder="1" applyAlignment="1">
      <alignment horizontal="left" vertical="center" wrapText="1" indent="1"/>
    </xf>
    <xf numFmtId="0" fontId="7" fillId="2" borderId="12" xfId="0" applyFont="1" applyFill="1" applyBorder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vertical="center"/>
    </xf>
    <xf numFmtId="14" fontId="0" fillId="0" borderId="0" xfId="0" applyNumberFormat="1" applyAlignment="1">
      <alignment horizontal="center"/>
    </xf>
    <xf numFmtId="0" fontId="7" fillId="4" borderId="8" xfId="0" applyNumberFormat="1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6" borderId="13" xfId="0" applyFill="1" applyBorder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indent="1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5" xfId="0" applyNumberFormat="1" applyFill="1" applyBorder="1" applyAlignment="1">
      <alignment horizontal="center"/>
    </xf>
    <xf numFmtId="0" fontId="0" fillId="6" borderId="6" xfId="0" applyNumberForma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 textRotation="90" wrapText="1"/>
    </xf>
    <xf numFmtId="0" fontId="12" fillId="4" borderId="1" xfId="0" applyFont="1" applyFill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left" indent="1"/>
    </xf>
    <xf numFmtId="0" fontId="0" fillId="0" borderId="20" xfId="0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 indent="1"/>
    </xf>
    <xf numFmtId="14" fontId="0" fillId="0" borderId="17" xfId="0" applyNumberFormat="1" applyBorder="1" applyAlignment="1">
      <alignment horizontal="center"/>
    </xf>
    <xf numFmtId="0" fontId="0" fillId="6" borderId="24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2" fillId="6" borderId="22" xfId="0" applyNumberFormat="1" applyFont="1" applyFill="1" applyBorder="1" applyAlignment="1">
      <alignment horizontal="center" vertical="center"/>
    </xf>
    <xf numFmtId="14" fontId="2" fillId="6" borderId="23" xfId="0" applyNumberFormat="1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CCFFCC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2"/>
  <sheetViews>
    <sheetView tabSelected="1" topLeftCell="L1" zoomScale="90" zoomScaleNormal="90" workbookViewId="0">
      <selection activeCell="P15" sqref="P15"/>
    </sheetView>
  </sheetViews>
  <sheetFormatPr defaultRowHeight="12.75" x14ac:dyDescent="0.2"/>
  <cols>
    <col min="1" max="9" width="4.85546875" style="13" hidden="1" customWidth="1"/>
    <col min="10" max="10" width="4.85546875" style="12" hidden="1" customWidth="1"/>
    <col min="11" max="11" width="8" style="12" hidden="1" customWidth="1"/>
    <col min="12" max="12" width="4.7109375" style="2" customWidth="1"/>
    <col min="13" max="13" width="9" style="2" customWidth="1"/>
    <col min="14" max="14" width="28.42578125" style="1" bestFit="1" customWidth="1"/>
    <col min="15" max="15" width="12.42578125" style="2" customWidth="1"/>
    <col min="16" max="16" width="16.42578125" bestFit="1" customWidth="1"/>
    <col min="17" max="17" width="24.28515625" style="2" customWidth="1"/>
    <col min="19" max="19" width="5.5703125" customWidth="1"/>
    <col min="20" max="20" width="7" style="14" customWidth="1"/>
    <col min="21" max="21" width="4.28515625" customWidth="1"/>
    <col min="22" max="22" width="4" customWidth="1"/>
    <col min="23" max="23" width="3.140625" customWidth="1"/>
    <col min="24" max="24" width="24.140625" customWidth="1"/>
    <col min="25" max="25" width="6.42578125" customWidth="1"/>
    <col min="26" max="26" width="9.140625" customWidth="1"/>
  </cols>
  <sheetData>
    <row r="1" spans="1:27" ht="22.5" customHeight="1" thickBot="1" x14ac:dyDescent="0.25">
      <c r="A1" s="74">
        <v>4</v>
      </c>
      <c r="B1" s="75">
        <v>4</v>
      </c>
      <c r="C1" s="74">
        <v>8</v>
      </c>
      <c r="D1" s="75">
        <v>8</v>
      </c>
      <c r="E1" s="74">
        <v>11</v>
      </c>
      <c r="F1" s="75">
        <v>11</v>
      </c>
      <c r="G1" s="74">
        <v>15</v>
      </c>
      <c r="H1" s="75">
        <v>15</v>
      </c>
      <c r="I1" s="74">
        <v>13</v>
      </c>
      <c r="J1" s="75">
        <v>13</v>
      </c>
      <c r="K1" s="73">
        <v>15</v>
      </c>
      <c r="L1" s="85">
        <v>41791</v>
      </c>
      <c r="M1" s="86"/>
      <c r="N1" s="87" t="s">
        <v>390</v>
      </c>
      <c r="O1" s="87"/>
      <c r="P1" s="87"/>
      <c r="Q1" s="87"/>
      <c r="R1" s="87"/>
      <c r="S1" s="55"/>
      <c r="T1" s="14">
        <f>YEAR($L$1)</f>
        <v>2014</v>
      </c>
      <c r="W1" s="77"/>
      <c r="X1" s="78" t="s">
        <v>591</v>
      </c>
      <c r="Y1" s="78" t="s">
        <v>592</v>
      </c>
      <c r="Z1" s="78" t="s">
        <v>593</v>
      </c>
    </row>
    <row r="2" spans="1:27" ht="13.5" thickBot="1" x14ac:dyDescent="0.25">
      <c r="A2" s="13">
        <v>0</v>
      </c>
      <c r="B2" s="13">
        <v>0</v>
      </c>
      <c r="C2" s="13">
        <v>0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/>
      <c r="L2" s="56"/>
      <c r="M2" s="56" t="s">
        <v>10</v>
      </c>
      <c r="N2" s="57" t="s">
        <v>1</v>
      </c>
      <c r="O2" s="56" t="s">
        <v>8</v>
      </c>
      <c r="P2" s="56" t="s">
        <v>2</v>
      </c>
      <c r="Q2" s="56" t="s">
        <v>3</v>
      </c>
      <c r="R2" s="56" t="s">
        <v>9</v>
      </c>
      <c r="S2" s="56" t="s">
        <v>13</v>
      </c>
      <c r="T2" s="15" t="s">
        <v>14</v>
      </c>
      <c r="U2" s="7"/>
      <c r="W2" s="79" t="s">
        <v>10</v>
      </c>
      <c r="X2" s="77" t="s">
        <v>21</v>
      </c>
      <c r="Y2" s="6">
        <f>SUM(Y3:Y18)</f>
        <v>61</v>
      </c>
      <c r="Z2" s="6">
        <f>SUM(Z3:Z18)</f>
        <v>50</v>
      </c>
      <c r="AA2" s="39"/>
    </row>
    <row r="3" spans="1:27" x14ac:dyDescent="0.2">
      <c r="A3" s="13">
        <f t="shared" ref="A3:A34" si="0">IF(AND($K3,$S3&lt;$C$1,$S3&gt;=$A$1,$R3="Мужской"),A2+1,A2)</f>
        <v>0</v>
      </c>
      <c r="B3" s="13">
        <f t="shared" ref="B3:B34" si="1">IF(AND($K3,$S3&lt;$D$1,$S3&gt;=$B$1,$R3="Женский"),B2+1,B2)</f>
        <v>1</v>
      </c>
      <c r="C3" s="13">
        <f t="shared" ref="C3:C34" si="2">IF(AND($K3,$S3&lt;$E$1,$S3&gt;=$C$1,$R3="Мужской"),C2+1,C2)</f>
        <v>0</v>
      </c>
      <c r="D3" s="13">
        <f t="shared" ref="D3:D34" si="3">IF(AND($K3,$S3&lt;$F$1,$S3&gt;=$D$1,$R3="Женский"),D2+1,D2)</f>
        <v>0</v>
      </c>
      <c r="E3" s="13">
        <f t="shared" ref="E3:E34" si="4">IF(AND($K3,$S3&lt;$G$1,$S3&gt;=$E$1,$R3="Мужской"),E2+1,E2)</f>
        <v>0</v>
      </c>
      <c r="F3" s="13">
        <f t="shared" ref="F3:F34" si="5">IF(AND($K3,$S3&lt;$H$1,$S3&gt;=$F$1,$R3="Женский"),F2+1,F2)</f>
        <v>0</v>
      </c>
      <c r="G3" s="13">
        <f t="shared" ref="G3:G34" si="6">IF(AND($K3,$S3&lt;$I$1,$S3&gt;=$G$1,$R3="Мужской"),G2+1,G2)</f>
        <v>0</v>
      </c>
      <c r="H3" s="13">
        <f t="shared" ref="H3:H34" si="7">IF(AND($K3,$S3&lt;$J$1,$S3&gt;=$H$1,$R3="Женский"),H2+1,H2)</f>
        <v>0</v>
      </c>
      <c r="I3" s="13">
        <f t="shared" ref="I3:I34" si="8">IF(AND($K3,$S3&lt;$K$1,$S3&gt;=$I$1,$R3="Мужской"),I2+1,I2)</f>
        <v>0</v>
      </c>
      <c r="J3" s="13">
        <f t="shared" ref="J3:J34" si="9">IF(AND($K3,$S3&lt;$K41,$S3&gt;=$J$1,$R3="Женский"),J2+1,J2)</f>
        <v>0</v>
      </c>
      <c r="K3" s="13" t="b">
        <f>NOT(ISBLANK($M3))</f>
        <v>1</v>
      </c>
      <c r="L3" s="58">
        <f>IF(ISBLANK($N3),"",ROW()-2)</f>
        <v>1</v>
      </c>
      <c r="M3" s="5">
        <v>6</v>
      </c>
      <c r="N3" s="3" t="s">
        <v>598</v>
      </c>
      <c r="O3" s="4">
        <f>IF(ISBLANK($N3),"",VLOOKUP($N3,List!$B$1:$F$2000,2,0))</f>
        <v>39701</v>
      </c>
      <c r="P3" s="5" t="str">
        <f>IF(ISBLANK($N3),"",VLOOKUP($N3,List!$B$1:$F$2000,3,0))</f>
        <v>Мурманск</v>
      </c>
      <c r="Q3" s="5" t="str">
        <f>IF(ISBLANK($N3),"",VLOOKUP($N3,List!$B$1:$F$2000,4,0))</f>
        <v xml:space="preserve"> </v>
      </c>
      <c r="R3" s="6" t="str">
        <f>IF(ISBLANK($N3),"",VLOOKUP($N3,List!$B$1:$F$2000,5,0))</f>
        <v>Женский</v>
      </c>
      <c r="S3" s="60">
        <f>IF($O3="","",($T$1-$T3))</f>
        <v>6</v>
      </c>
      <c r="T3" s="16">
        <f>IF($O3="","",YEAR($O3))</f>
        <v>2008</v>
      </c>
      <c r="U3" s="7"/>
      <c r="V3" t="s">
        <v>26</v>
      </c>
      <c r="W3" s="80">
        <v>0</v>
      </c>
      <c r="X3" s="80" t="s">
        <v>20</v>
      </c>
      <c r="Y3" s="76">
        <f>COUNTIF($Q$3:$Q$202," ")</f>
        <v>38</v>
      </c>
      <c r="Z3" s="76">
        <f>200-COUNTBLANK(M3:M202)-SUM(Z4:Z18)</f>
        <v>32</v>
      </c>
      <c r="AA3" s="39"/>
    </row>
    <row r="4" spans="1:27" x14ac:dyDescent="0.2">
      <c r="A4" s="13">
        <f t="shared" si="0"/>
        <v>0</v>
      </c>
      <c r="B4" s="13">
        <f t="shared" si="1"/>
        <v>2</v>
      </c>
      <c r="C4" s="13">
        <f t="shared" si="2"/>
        <v>0</v>
      </c>
      <c r="D4" s="13">
        <f t="shared" si="3"/>
        <v>0</v>
      </c>
      <c r="E4" s="13">
        <f t="shared" si="4"/>
        <v>0</v>
      </c>
      <c r="F4" s="13">
        <f t="shared" si="5"/>
        <v>0</v>
      </c>
      <c r="G4" s="13">
        <f t="shared" si="6"/>
        <v>0</v>
      </c>
      <c r="H4" s="13">
        <f t="shared" si="7"/>
        <v>0</v>
      </c>
      <c r="I4" s="13">
        <f t="shared" si="8"/>
        <v>0</v>
      </c>
      <c r="J4" s="13">
        <f t="shared" si="9"/>
        <v>0</v>
      </c>
      <c r="K4" s="13" t="b">
        <f t="shared" ref="K4:K67" si="10">NOT(ISBLANK($M4))</f>
        <v>1</v>
      </c>
      <c r="L4" s="59">
        <f t="shared" ref="L4:L67" si="11">IF(ISBLANK($N4),"",ROW()-2)</f>
        <v>2</v>
      </c>
      <c r="M4" s="10">
        <v>41</v>
      </c>
      <c r="N4" s="8" t="s">
        <v>241</v>
      </c>
      <c r="O4" s="9">
        <f>IF(ISBLANK($N4),"",VLOOKUP($N4,List!$B$1:$F$2000,2,0))</f>
        <v>39083</v>
      </c>
      <c r="P4" s="10" t="str">
        <f>IF(ISBLANK($N4),"",VLOOKUP($N4,List!$B$1:$F$2000,3,0))</f>
        <v>Ульяновск</v>
      </c>
      <c r="Q4" s="10" t="str">
        <f>IF(ISBLANK($N4),"",VLOOKUP($N4,List!$B$1:$F$2000,4,0))</f>
        <v xml:space="preserve"> </v>
      </c>
      <c r="R4" s="11" t="str">
        <f>IF(ISBLANK($N4),"",VLOOKUP($N4,List!$B$1:$F$2000,5,0))</f>
        <v>Женский</v>
      </c>
      <c r="S4" s="61">
        <f t="shared" ref="S4:S67" si="12">IF($O4="","",($T$1-$T4))</f>
        <v>7</v>
      </c>
      <c r="T4" s="16">
        <f t="shared" ref="T4:T67" si="13">IF($O4="","",YEAR($O4))</f>
        <v>2007</v>
      </c>
      <c r="U4" s="7"/>
      <c r="V4" t="s">
        <v>26</v>
      </c>
      <c r="W4" s="81">
        <v>1</v>
      </c>
      <c r="X4" s="82" t="s">
        <v>572</v>
      </c>
      <c r="Y4" s="11">
        <f t="shared" ref="Y4:Y18" si="14">COUNTIF($Q$3:$Q$202,$X4)</f>
        <v>15</v>
      </c>
      <c r="Z4" s="11">
        <f t="shared" ref="Z4:Z19" si="15">COUNTIFS($Q$3:$Q$202,$X4,$M$3:$M$202,"&gt;0")</f>
        <v>13</v>
      </c>
      <c r="AA4" s="39"/>
    </row>
    <row r="5" spans="1:27" x14ac:dyDescent="0.2">
      <c r="A5" s="13">
        <f t="shared" si="0"/>
        <v>0</v>
      </c>
      <c r="B5" s="13">
        <f t="shared" si="1"/>
        <v>2</v>
      </c>
      <c r="C5" s="13">
        <f t="shared" si="2"/>
        <v>1</v>
      </c>
      <c r="D5" s="13">
        <f t="shared" si="3"/>
        <v>0</v>
      </c>
      <c r="E5" s="13">
        <f t="shared" si="4"/>
        <v>0</v>
      </c>
      <c r="F5" s="13">
        <f t="shared" si="5"/>
        <v>0</v>
      </c>
      <c r="G5" s="13">
        <f t="shared" si="6"/>
        <v>0</v>
      </c>
      <c r="H5" s="13">
        <f t="shared" si="7"/>
        <v>0</v>
      </c>
      <c r="I5" s="13">
        <f t="shared" si="8"/>
        <v>0</v>
      </c>
      <c r="J5" s="13">
        <f t="shared" si="9"/>
        <v>0</v>
      </c>
      <c r="K5" s="13" t="b">
        <f t="shared" si="10"/>
        <v>1</v>
      </c>
      <c r="L5" s="59">
        <f t="shared" si="11"/>
        <v>3</v>
      </c>
      <c r="M5" s="10">
        <v>45</v>
      </c>
      <c r="N5" s="8" t="s">
        <v>243</v>
      </c>
      <c r="O5" s="9">
        <f>IF(ISBLANK($N5),"",VLOOKUP($N5,List!$B$1:$F$2000,2,0))</f>
        <v>38689</v>
      </c>
      <c r="P5" s="10" t="str">
        <f>IF(ISBLANK($N5),"",VLOOKUP($N5,List!$B$1:$F$2000,3,0))</f>
        <v>Ульяновск</v>
      </c>
      <c r="Q5" s="10" t="str">
        <f>IF(ISBLANK($N5),"",VLOOKUP($N5,List!$B$1:$F$2000,4,0))</f>
        <v xml:space="preserve"> </v>
      </c>
      <c r="R5" s="11" t="str">
        <f>IF(ISBLANK($N5),"",VLOOKUP($N5,List!$B$1:$F$2000,5,0))</f>
        <v>Мужской</v>
      </c>
      <c r="S5" s="61">
        <f t="shared" si="12"/>
        <v>9</v>
      </c>
      <c r="T5" s="16">
        <f t="shared" si="13"/>
        <v>2005</v>
      </c>
      <c r="U5" s="7"/>
      <c r="V5" t="s">
        <v>26</v>
      </c>
      <c r="W5" s="81">
        <v>2</v>
      </c>
      <c r="X5" s="81" t="s">
        <v>595</v>
      </c>
      <c r="Y5" s="11">
        <f t="shared" si="14"/>
        <v>7</v>
      </c>
      <c r="Z5" s="11">
        <f t="shared" si="15"/>
        <v>5</v>
      </c>
      <c r="AA5" s="39"/>
    </row>
    <row r="6" spans="1:27" x14ac:dyDescent="0.2">
      <c r="A6" s="13">
        <f t="shared" si="0"/>
        <v>0</v>
      </c>
      <c r="B6" s="13">
        <f t="shared" si="1"/>
        <v>2</v>
      </c>
      <c r="C6" s="13">
        <f t="shared" si="2"/>
        <v>1</v>
      </c>
      <c r="D6" s="13">
        <f t="shared" si="3"/>
        <v>0</v>
      </c>
      <c r="E6" s="13">
        <f t="shared" si="4"/>
        <v>1</v>
      </c>
      <c r="F6" s="13">
        <f t="shared" si="5"/>
        <v>0</v>
      </c>
      <c r="G6" s="13">
        <f t="shared" si="6"/>
        <v>0</v>
      </c>
      <c r="H6" s="13">
        <f t="shared" si="7"/>
        <v>0</v>
      </c>
      <c r="I6" s="13">
        <f t="shared" si="8"/>
        <v>1</v>
      </c>
      <c r="J6" s="13">
        <f t="shared" si="9"/>
        <v>0</v>
      </c>
      <c r="K6" s="13" t="b">
        <f t="shared" si="10"/>
        <v>1</v>
      </c>
      <c r="L6" s="59">
        <f t="shared" si="11"/>
        <v>4</v>
      </c>
      <c r="M6" s="10">
        <v>46</v>
      </c>
      <c r="N6" s="8" t="s">
        <v>242</v>
      </c>
      <c r="O6" s="9">
        <f>IF(ISBLANK($N6),"",VLOOKUP($N6,List!$B$1:$F$2000,2,0))</f>
        <v>36961</v>
      </c>
      <c r="P6" s="10" t="str">
        <f>IF(ISBLANK($N6),"",VLOOKUP($N6,List!$B$1:$F$2000,3,0))</f>
        <v>Ульяновск</v>
      </c>
      <c r="Q6" s="10" t="str">
        <f>IF(ISBLANK($N6),"",VLOOKUP($N6,List!$B$1:$F$2000,4,0))</f>
        <v xml:space="preserve"> </v>
      </c>
      <c r="R6" s="11" t="str">
        <f>IF(ISBLANK($N6),"",VLOOKUP($N6,List!$B$1:$F$2000,5,0))</f>
        <v>Мужской</v>
      </c>
      <c r="S6" s="61">
        <f t="shared" si="12"/>
        <v>13</v>
      </c>
      <c r="T6" s="16">
        <f t="shared" si="13"/>
        <v>2001</v>
      </c>
      <c r="U6" s="7"/>
      <c r="V6" t="s">
        <v>26</v>
      </c>
      <c r="W6" s="81">
        <v>3</v>
      </c>
      <c r="X6" s="81" t="s">
        <v>503</v>
      </c>
      <c r="Y6" s="11">
        <f t="shared" si="14"/>
        <v>1</v>
      </c>
      <c r="Z6" s="11">
        <f t="shared" si="15"/>
        <v>0</v>
      </c>
      <c r="AA6" s="39"/>
    </row>
    <row r="7" spans="1:27" x14ac:dyDescent="0.2">
      <c r="A7" s="13">
        <f t="shared" si="0"/>
        <v>0</v>
      </c>
      <c r="B7" s="13">
        <f t="shared" si="1"/>
        <v>2</v>
      </c>
      <c r="C7" s="13">
        <f t="shared" si="2"/>
        <v>2</v>
      </c>
      <c r="D7" s="13">
        <f t="shared" si="3"/>
        <v>0</v>
      </c>
      <c r="E7" s="13">
        <f t="shared" si="4"/>
        <v>1</v>
      </c>
      <c r="F7" s="13">
        <f t="shared" si="5"/>
        <v>0</v>
      </c>
      <c r="G7" s="13">
        <f t="shared" si="6"/>
        <v>0</v>
      </c>
      <c r="H7" s="13">
        <f t="shared" si="7"/>
        <v>0</v>
      </c>
      <c r="I7" s="13">
        <f t="shared" si="8"/>
        <v>1</v>
      </c>
      <c r="J7" s="13">
        <f t="shared" si="9"/>
        <v>0</v>
      </c>
      <c r="K7" s="13" t="b">
        <f t="shared" si="10"/>
        <v>1</v>
      </c>
      <c r="L7" s="59">
        <f t="shared" si="11"/>
        <v>5</v>
      </c>
      <c r="M7" s="10">
        <v>30</v>
      </c>
      <c r="N7" s="8" t="s">
        <v>30</v>
      </c>
      <c r="O7" s="9">
        <f>IF(ISBLANK($N7),"",VLOOKUP($N7,List!$B$1:$F$2000,2,0))</f>
        <v>38496</v>
      </c>
      <c r="P7" s="10" t="str">
        <f>IF(ISBLANK($N7),"",VLOOKUP($N7,List!$B$1:$F$2000,3,0))</f>
        <v>Ульяновск</v>
      </c>
      <c r="Q7" s="10" t="str">
        <f>IF(ISBLANK($N7),"",VLOOKUP($N7,List!$B$1:$F$2000,4,0))</f>
        <v>UNITY</v>
      </c>
      <c r="R7" s="11" t="str">
        <f>IF(ISBLANK($N7),"",VLOOKUP($N7,List!$B$1:$F$2000,5,0))</f>
        <v>Мужской</v>
      </c>
      <c r="S7" s="61">
        <f t="shared" si="12"/>
        <v>9</v>
      </c>
      <c r="T7" s="16">
        <f t="shared" si="13"/>
        <v>2005</v>
      </c>
      <c r="U7" s="7"/>
      <c r="V7" t="s">
        <v>26</v>
      </c>
      <c r="W7" s="81">
        <v>4</v>
      </c>
      <c r="X7" s="81"/>
      <c r="Y7" s="11">
        <f t="shared" si="14"/>
        <v>0</v>
      </c>
      <c r="Z7" s="11">
        <f t="shared" si="15"/>
        <v>0</v>
      </c>
      <c r="AA7" s="39"/>
    </row>
    <row r="8" spans="1:27" x14ac:dyDescent="0.2">
      <c r="A8" s="13">
        <f t="shared" si="0"/>
        <v>0</v>
      </c>
      <c r="B8" s="13">
        <f t="shared" si="1"/>
        <v>2</v>
      </c>
      <c r="C8" s="13">
        <f t="shared" si="2"/>
        <v>2</v>
      </c>
      <c r="D8" s="13">
        <f t="shared" si="3"/>
        <v>1</v>
      </c>
      <c r="E8" s="13">
        <f t="shared" si="4"/>
        <v>1</v>
      </c>
      <c r="F8" s="13">
        <f t="shared" si="5"/>
        <v>0</v>
      </c>
      <c r="G8" s="13">
        <f t="shared" si="6"/>
        <v>0</v>
      </c>
      <c r="H8" s="13">
        <f t="shared" si="7"/>
        <v>0</v>
      </c>
      <c r="I8" s="13">
        <f t="shared" si="8"/>
        <v>1</v>
      </c>
      <c r="J8" s="13">
        <f t="shared" si="9"/>
        <v>0</v>
      </c>
      <c r="K8" s="13" t="b">
        <f t="shared" si="10"/>
        <v>1</v>
      </c>
      <c r="L8" s="59">
        <f t="shared" si="11"/>
        <v>6</v>
      </c>
      <c r="M8" s="10">
        <v>34</v>
      </c>
      <c r="N8" s="8" t="s">
        <v>244</v>
      </c>
      <c r="O8" s="9">
        <f>IF(ISBLANK($N8),"",VLOOKUP($N8,List!$B$1:$F$2000,2,0))</f>
        <v>38088</v>
      </c>
      <c r="P8" s="10" t="str">
        <f>IF(ISBLANK($N8),"",VLOOKUP($N8,List!$B$1:$F$2000,3,0))</f>
        <v>Ульяновск</v>
      </c>
      <c r="Q8" s="10" t="str">
        <f>IF(ISBLANK($N8),"",VLOOKUP($N8,List!$B$1:$F$2000,4,0))</f>
        <v xml:space="preserve"> </v>
      </c>
      <c r="R8" s="11" t="str">
        <f>IF(ISBLANK($N8),"",VLOOKUP($N8,List!$B$1:$F$2000,5,0))</f>
        <v>Женский</v>
      </c>
      <c r="S8" s="61">
        <f t="shared" si="12"/>
        <v>10</v>
      </c>
      <c r="T8" s="16">
        <f t="shared" si="13"/>
        <v>2004</v>
      </c>
      <c r="U8" s="7"/>
      <c r="V8" t="s">
        <v>26</v>
      </c>
      <c r="W8" s="81">
        <v>5</v>
      </c>
      <c r="X8" s="81"/>
      <c r="Y8" s="11">
        <f t="shared" si="14"/>
        <v>0</v>
      </c>
      <c r="Z8" s="11">
        <f t="shared" si="15"/>
        <v>0</v>
      </c>
      <c r="AA8" s="39"/>
    </row>
    <row r="9" spans="1:27" x14ac:dyDescent="0.2">
      <c r="A9" s="13">
        <f t="shared" si="0"/>
        <v>0</v>
      </c>
      <c r="B9" s="13">
        <f t="shared" si="1"/>
        <v>2</v>
      </c>
      <c r="C9" s="13">
        <f t="shared" si="2"/>
        <v>2</v>
      </c>
      <c r="D9" s="13">
        <f t="shared" si="3"/>
        <v>1</v>
      </c>
      <c r="E9" s="13">
        <f t="shared" si="4"/>
        <v>1</v>
      </c>
      <c r="F9" s="13">
        <f t="shared" si="5"/>
        <v>0</v>
      </c>
      <c r="G9" s="13">
        <f t="shared" si="6"/>
        <v>0</v>
      </c>
      <c r="H9" s="13">
        <f t="shared" si="7"/>
        <v>0</v>
      </c>
      <c r="I9" s="13">
        <f t="shared" si="8"/>
        <v>1</v>
      </c>
      <c r="J9" s="13">
        <f t="shared" si="9"/>
        <v>0</v>
      </c>
      <c r="K9" s="13" t="b">
        <f t="shared" si="10"/>
        <v>0</v>
      </c>
      <c r="L9" s="59">
        <f t="shared" si="11"/>
        <v>7</v>
      </c>
      <c r="M9" s="10"/>
      <c r="N9" s="8" t="s">
        <v>245</v>
      </c>
      <c r="O9" s="9">
        <f>IF(ISBLANK($N9),"",VLOOKUP($N9,List!$B$1:$F$2000,2,0))</f>
        <v>39658</v>
      </c>
      <c r="P9" s="10" t="str">
        <f>IF(ISBLANK($N9),"",VLOOKUP($N9,List!$B$1:$F$2000,3,0))</f>
        <v>Ульяновск</v>
      </c>
      <c r="Q9" s="10" t="str">
        <f>IF(ISBLANK($N9),"",VLOOKUP($N9,List!$B$1:$F$2000,4,0))</f>
        <v>UNITY</v>
      </c>
      <c r="R9" s="11" t="str">
        <f>IF(ISBLANK($N9),"",VLOOKUP($N9,List!$B$1:$F$2000,5,0))</f>
        <v>Мужской</v>
      </c>
      <c r="S9" s="61">
        <f t="shared" si="12"/>
        <v>6</v>
      </c>
      <c r="T9" s="16">
        <f t="shared" si="13"/>
        <v>2008</v>
      </c>
      <c r="U9" s="7"/>
      <c r="V9" t="s">
        <v>26</v>
      </c>
      <c r="W9" s="81">
        <v>6</v>
      </c>
      <c r="X9" s="81"/>
      <c r="Y9" s="11">
        <f t="shared" si="14"/>
        <v>0</v>
      </c>
      <c r="Z9" s="11">
        <f t="shared" si="15"/>
        <v>0</v>
      </c>
      <c r="AA9" s="39"/>
    </row>
    <row r="10" spans="1:27" x14ac:dyDescent="0.2">
      <c r="A10" s="13">
        <f t="shared" si="0"/>
        <v>0</v>
      </c>
      <c r="B10" s="13">
        <f t="shared" si="1"/>
        <v>3</v>
      </c>
      <c r="C10" s="13">
        <f t="shared" si="2"/>
        <v>2</v>
      </c>
      <c r="D10" s="13">
        <f t="shared" si="3"/>
        <v>1</v>
      </c>
      <c r="E10" s="13">
        <f t="shared" si="4"/>
        <v>1</v>
      </c>
      <c r="F10" s="13">
        <f t="shared" si="5"/>
        <v>0</v>
      </c>
      <c r="G10" s="13">
        <f t="shared" si="6"/>
        <v>0</v>
      </c>
      <c r="H10" s="13">
        <f t="shared" si="7"/>
        <v>0</v>
      </c>
      <c r="I10" s="13">
        <f t="shared" si="8"/>
        <v>1</v>
      </c>
      <c r="J10" s="13">
        <f t="shared" si="9"/>
        <v>0</v>
      </c>
      <c r="K10" s="13" t="b">
        <f t="shared" si="10"/>
        <v>1</v>
      </c>
      <c r="L10" s="59">
        <f t="shared" si="11"/>
        <v>8</v>
      </c>
      <c r="M10" s="10">
        <v>29</v>
      </c>
      <c r="N10" s="8" t="s">
        <v>583</v>
      </c>
      <c r="O10" s="9">
        <f>IF(ISBLANK($N10),"",VLOOKUP($N10,List!$B$1:$F$2000,2,0))</f>
        <v>39169</v>
      </c>
      <c r="P10" s="10" t="str">
        <f>IF(ISBLANK($N10),"",VLOOKUP($N10,List!$B$1:$F$2000,3,0))</f>
        <v>Ульяновск</v>
      </c>
      <c r="Q10" s="10" t="str">
        <f>IF(ISBLANK($N10),"",VLOOKUP($N10,List!$B$1:$F$2000,4,0))</f>
        <v xml:space="preserve"> </v>
      </c>
      <c r="R10" s="11" t="str">
        <f>IF(ISBLANK($N10),"",VLOOKUP($N10,List!$B$1:$F$2000,5,0))</f>
        <v>Женский</v>
      </c>
      <c r="S10" s="61">
        <f t="shared" si="12"/>
        <v>7</v>
      </c>
      <c r="T10" s="16">
        <f t="shared" si="13"/>
        <v>2007</v>
      </c>
      <c r="U10" s="7"/>
      <c r="V10" t="s">
        <v>26</v>
      </c>
      <c r="W10" s="81">
        <v>7</v>
      </c>
      <c r="X10" s="81"/>
      <c r="Y10" s="11">
        <f t="shared" si="14"/>
        <v>0</v>
      </c>
      <c r="Z10" s="11">
        <f t="shared" si="15"/>
        <v>0</v>
      </c>
      <c r="AA10" s="39"/>
    </row>
    <row r="11" spans="1:27" x14ac:dyDescent="0.2">
      <c r="A11" s="13">
        <f t="shared" si="0"/>
        <v>0</v>
      </c>
      <c r="B11" s="13">
        <f t="shared" si="1"/>
        <v>4</v>
      </c>
      <c r="C11" s="13">
        <f t="shared" si="2"/>
        <v>2</v>
      </c>
      <c r="D11" s="13">
        <f t="shared" si="3"/>
        <v>1</v>
      </c>
      <c r="E11" s="13">
        <f t="shared" si="4"/>
        <v>1</v>
      </c>
      <c r="F11" s="13">
        <f t="shared" si="5"/>
        <v>0</v>
      </c>
      <c r="G11" s="13">
        <f t="shared" si="6"/>
        <v>0</v>
      </c>
      <c r="H11" s="13">
        <f t="shared" si="7"/>
        <v>0</v>
      </c>
      <c r="I11" s="13">
        <f t="shared" si="8"/>
        <v>1</v>
      </c>
      <c r="J11" s="13">
        <f t="shared" si="9"/>
        <v>0</v>
      </c>
      <c r="K11" s="13" t="b">
        <f t="shared" si="10"/>
        <v>1</v>
      </c>
      <c r="L11" s="59">
        <f t="shared" si="11"/>
        <v>9</v>
      </c>
      <c r="M11" s="10">
        <v>28</v>
      </c>
      <c r="N11" s="8" t="s">
        <v>582</v>
      </c>
      <c r="O11" s="9">
        <f>IF(ISBLANK($N11),"",VLOOKUP($N11,List!$B$1:$F$2000,2,0))</f>
        <v>39678</v>
      </c>
      <c r="P11" s="10" t="str">
        <f>IF(ISBLANK($N11),"",VLOOKUP($N11,List!$B$1:$F$2000,3,0))</f>
        <v>Ульяновск</v>
      </c>
      <c r="Q11" s="10" t="str">
        <f>IF(ISBLANK($N11),"",VLOOKUP($N11,List!$B$1:$F$2000,4,0))</f>
        <v xml:space="preserve"> </v>
      </c>
      <c r="R11" s="11" t="str">
        <f>IF(ISBLANK($N11),"",VLOOKUP($N11,List!$B$1:$F$2000,5,0))</f>
        <v>Женский</v>
      </c>
      <c r="S11" s="61">
        <f t="shared" si="12"/>
        <v>6</v>
      </c>
      <c r="T11" s="16">
        <f t="shared" si="13"/>
        <v>2008</v>
      </c>
      <c r="U11" s="7"/>
      <c r="V11" t="s">
        <v>26</v>
      </c>
      <c r="W11" s="81">
        <v>8</v>
      </c>
      <c r="X11" s="82"/>
      <c r="Y11" s="11">
        <f t="shared" si="14"/>
        <v>0</v>
      </c>
      <c r="Z11" s="11">
        <f t="shared" si="15"/>
        <v>0</v>
      </c>
      <c r="AA11" s="39"/>
    </row>
    <row r="12" spans="1:27" x14ac:dyDescent="0.2">
      <c r="A12" s="13">
        <f t="shared" si="0"/>
        <v>0</v>
      </c>
      <c r="B12" s="13">
        <f t="shared" si="1"/>
        <v>4</v>
      </c>
      <c r="C12" s="13">
        <f t="shared" si="2"/>
        <v>2</v>
      </c>
      <c r="D12" s="13">
        <f t="shared" si="3"/>
        <v>1</v>
      </c>
      <c r="E12" s="13">
        <f t="shared" si="4"/>
        <v>1</v>
      </c>
      <c r="F12" s="13">
        <f t="shared" si="5"/>
        <v>1</v>
      </c>
      <c r="G12" s="13">
        <f t="shared" si="6"/>
        <v>0</v>
      </c>
      <c r="H12" s="13">
        <f t="shared" si="7"/>
        <v>0</v>
      </c>
      <c r="I12" s="13">
        <f t="shared" si="8"/>
        <v>1</v>
      </c>
      <c r="J12" s="13">
        <f t="shared" si="9"/>
        <v>0</v>
      </c>
      <c r="K12" s="13" t="b">
        <f t="shared" si="10"/>
        <v>1</v>
      </c>
      <c r="L12" s="59">
        <f t="shared" si="11"/>
        <v>10</v>
      </c>
      <c r="M12" s="10">
        <v>48</v>
      </c>
      <c r="N12" s="8" t="s">
        <v>590</v>
      </c>
      <c r="O12" s="9">
        <f>IF(ISBLANK($N12),"",VLOOKUP($N12,List!$B$1:$F$2000,2,0))</f>
        <v>37426</v>
      </c>
      <c r="P12" s="10" t="str">
        <f>IF(ISBLANK($N12),"",VLOOKUP($N12,List!$B$1:$F$2000,3,0))</f>
        <v>Санкт-Петербург</v>
      </c>
      <c r="Q12" s="10" t="str">
        <f>IF(ISBLANK($N12),"",VLOOKUP($N12,List!$B$1:$F$2000,4,0))</f>
        <v>RollerPride</v>
      </c>
      <c r="R12" s="11" t="str">
        <f>IF(ISBLANK($N12),"",VLOOKUP($N12,List!$B$1:$F$2000,5,0))</f>
        <v>Женский</v>
      </c>
      <c r="S12" s="61">
        <f t="shared" si="12"/>
        <v>12</v>
      </c>
      <c r="T12" s="16">
        <f t="shared" si="13"/>
        <v>2002</v>
      </c>
      <c r="U12" s="7"/>
      <c r="V12" t="s">
        <v>26</v>
      </c>
      <c r="W12" s="81">
        <v>9</v>
      </c>
      <c r="X12" s="82"/>
      <c r="Y12" s="11">
        <f t="shared" si="14"/>
        <v>0</v>
      </c>
      <c r="Z12" s="11">
        <f t="shared" si="15"/>
        <v>0</v>
      </c>
    </row>
    <row r="13" spans="1:27" x14ac:dyDescent="0.2">
      <c r="A13" s="13">
        <f t="shared" si="0"/>
        <v>1</v>
      </c>
      <c r="B13" s="13">
        <f t="shared" si="1"/>
        <v>4</v>
      </c>
      <c r="C13" s="13">
        <f t="shared" si="2"/>
        <v>2</v>
      </c>
      <c r="D13" s="13">
        <f t="shared" si="3"/>
        <v>1</v>
      </c>
      <c r="E13" s="13">
        <f t="shared" si="4"/>
        <v>1</v>
      </c>
      <c r="F13" s="13">
        <f t="shared" si="5"/>
        <v>1</v>
      </c>
      <c r="G13" s="13">
        <f t="shared" si="6"/>
        <v>0</v>
      </c>
      <c r="H13" s="13">
        <f t="shared" si="7"/>
        <v>0</v>
      </c>
      <c r="I13" s="13">
        <f t="shared" si="8"/>
        <v>1</v>
      </c>
      <c r="J13" s="13">
        <f t="shared" si="9"/>
        <v>0</v>
      </c>
      <c r="K13" s="13" t="b">
        <f t="shared" si="10"/>
        <v>1</v>
      </c>
      <c r="L13" s="59">
        <f t="shared" si="11"/>
        <v>11</v>
      </c>
      <c r="M13" s="10">
        <v>27</v>
      </c>
      <c r="N13" s="8" t="s">
        <v>423</v>
      </c>
      <c r="O13" s="9">
        <f>IF(ISBLANK($N13),"",VLOOKUP($N13,List!$B$1:$F$2000,2,0))</f>
        <v>39122</v>
      </c>
      <c r="P13" s="10" t="str">
        <f>IF(ISBLANK($N13),"",VLOOKUP($N13,List!$B$1:$F$2000,3,0))</f>
        <v>Ульяновск</v>
      </c>
      <c r="Q13" s="10" t="str">
        <f>IF(ISBLANK($N13),"",VLOOKUP($N13,List!$B$1:$F$2000,4,0))</f>
        <v xml:space="preserve"> </v>
      </c>
      <c r="R13" s="11" t="str">
        <f>IF(ISBLANK($N13),"",VLOOKUP($N13,List!$B$1:$F$2000,5,0))</f>
        <v>Мужской</v>
      </c>
      <c r="S13" s="61">
        <f t="shared" si="12"/>
        <v>7</v>
      </c>
      <c r="T13" s="16">
        <f t="shared" si="13"/>
        <v>2007</v>
      </c>
      <c r="U13" s="7"/>
      <c r="V13" t="s">
        <v>26</v>
      </c>
      <c r="W13" s="81">
        <v>10</v>
      </c>
      <c r="X13" s="82"/>
      <c r="Y13" s="11">
        <f t="shared" si="14"/>
        <v>0</v>
      </c>
      <c r="Z13" s="11">
        <f t="shared" si="15"/>
        <v>0</v>
      </c>
      <c r="AA13" s="39"/>
    </row>
    <row r="14" spans="1:27" x14ac:dyDescent="0.2">
      <c r="A14" s="13">
        <f t="shared" si="0"/>
        <v>1</v>
      </c>
      <c r="B14" s="13">
        <f t="shared" si="1"/>
        <v>5</v>
      </c>
      <c r="C14" s="13">
        <f t="shared" si="2"/>
        <v>2</v>
      </c>
      <c r="D14" s="13">
        <f t="shared" si="3"/>
        <v>1</v>
      </c>
      <c r="E14" s="13">
        <f t="shared" si="4"/>
        <v>1</v>
      </c>
      <c r="F14" s="13">
        <f t="shared" si="5"/>
        <v>1</v>
      </c>
      <c r="G14" s="13">
        <f t="shared" si="6"/>
        <v>0</v>
      </c>
      <c r="H14" s="13">
        <f t="shared" si="7"/>
        <v>0</v>
      </c>
      <c r="I14" s="13">
        <f t="shared" si="8"/>
        <v>1</v>
      </c>
      <c r="J14" s="13">
        <f t="shared" si="9"/>
        <v>0</v>
      </c>
      <c r="K14" s="13" t="b">
        <f t="shared" si="10"/>
        <v>1</v>
      </c>
      <c r="L14" s="59">
        <f t="shared" si="11"/>
        <v>12</v>
      </c>
      <c r="M14" s="10">
        <v>36</v>
      </c>
      <c r="N14" s="8" t="s">
        <v>584</v>
      </c>
      <c r="O14" s="9">
        <f>IF(ISBLANK($N14),"",VLOOKUP($N14,List!$B$1:$F$2000,2,0))</f>
        <v>39227</v>
      </c>
      <c r="P14" s="10" t="str">
        <f>IF(ISBLANK($N14),"",VLOOKUP($N14,List!$B$1:$F$2000,3,0))</f>
        <v>Ульяновск</v>
      </c>
      <c r="Q14" s="10" t="str">
        <f>IF(ISBLANK($N14),"",VLOOKUP($N14,List!$B$1:$F$2000,4,0))</f>
        <v>UNITY</v>
      </c>
      <c r="R14" s="11" t="str">
        <f>IF(ISBLANK($N14),"",VLOOKUP($N14,List!$B$1:$F$2000,5,0))</f>
        <v>Женский</v>
      </c>
      <c r="S14" s="61">
        <f t="shared" si="12"/>
        <v>7</v>
      </c>
      <c r="T14" s="16">
        <f t="shared" si="13"/>
        <v>2007</v>
      </c>
      <c r="U14" s="7"/>
      <c r="V14" t="s">
        <v>26</v>
      </c>
      <c r="W14" s="81">
        <v>11</v>
      </c>
      <c r="X14" s="81"/>
      <c r="Y14" s="11">
        <f t="shared" si="14"/>
        <v>0</v>
      </c>
      <c r="Z14" s="11">
        <f t="shared" si="15"/>
        <v>0</v>
      </c>
      <c r="AA14" s="39"/>
    </row>
    <row r="15" spans="1:27" x14ac:dyDescent="0.2">
      <c r="A15" s="13">
        <f t="shared" si="0"/>
        <v>1</v>
      </c>
      <c r="B15" s="13">
        <f t="shared" si="1"/>
        <v>5</v>
      </c>
      <c r="C15" s="13">
        <f t="shared" si="2"/>
        <v>2</v>
      </c>
      <c r="D15" s="13">
        <f t="shared" si="3"/>
        <v>1</v>
      </c>
      <c r="E15" s="13">
        <f t="shared" si="4"/>
        <v>1</v>
      </c>
      <c r="F15" s="13">
        <f t="shared" si="5"/>
        <v>2</v>
      </c>
      <c r="G15" s="13">
        <f t="shared" si="6"/>
        <v>0</v>
      </c>
      <c r="H15" s="13">
        <f t="shared" si="7"/>
        <v>0</v>
      </c>
      <c r="I15" s="13">
        <f t="shared" si="8"/>
        <v>1</v>
      </c>
      <c r="J15" s="13">
        <f t="shared" si="9"/>
        <v>0</v>
      </c>
      <c r="K15" s="13" t="b">
        <f t="shared" si="10"/>
        <v>1</v>
      </c>
      <c r="L15" s="59">
        <f t="shared" si="11"/>
        <v>13</v>
      </c>
      <c r="M15" s="10">
        <v>7</v>
      </c>
      <c r="N15" s="8" t="s">
        <v>430</v>
      </c>
      <c r="O15" s="9">
        <f>IF(ISBLANK($N15),"",VLOOKUP($N15,List!$B$1:$F$2000,2,0))</f>
        <v>37586</v>
      </c>
      <c r="P15" s="10" t="str">
        <f>IF(ISBLANK($N15),"",VLOOKUP($N15,List!$B$1:$F$2000,3,0))</f>
        <v>Ульяновск</v>
      </c>
      <c r="Q15" s="10" t="str">
        <f>IF(ISBLANK($N15),"",VLOOKUP($N15,List!$B$1:$F$2000,4,0))</f>
        <v>UNITY</v>
      </c>
      <c r="R15" s="11" t="str">
        <f>IF(ISBLANK($N15),"",VLOOKUP($N15,List!$B$1:$F$2000,5,0))</f>
        <v>Женский</v>
      </c>
      <c r="S15" s="61">
        <f t="shared" si="12"/>
        <v>12</v>
      </c>
      <c r="T15" s="16">
        <f t="shared" si="13"/>
        <v>2002</v>
      </c>
      <c r="U15" s="7"/>
      <c r="V15" t="s">
        <v>26</v>
      </c>
      <c r="W15" s="81">
        <v>12</v>
      </c>
      <c r="X15" s="82"/>
      <c r="Y15" s="11">
        <f t="shared" si="14"/>
        <v>0</v>
      </c>
      <c r="Z15" s="11">
        <f t="shared" si="15"/>
        <v>0</v>
      </c>
      <c r="AA15" s="39"/>
    </row>
    <row r="16" spans="1:27" x14ac:dyDescent="0.2">
      <c r="A16" s="13">
        <f t="shared" si="0"/>
        <v>2</v>
      </c>
      <c r="B16" s="13">
        <f t="shared" si="1"/>
        <v>5</v>
      </c>
      <c r="C16" s="13">
        <f t="shared" si="2"/>
        <v>2</v>
      </c>
      <c r="D16" s="13">
        <f t="shared" si="3"/>
        <v>1</v>
      </c>
      <c r="E16" s="13">
        <f t="shared" si="4"/>
        <v>1</v>
      </c>
      <c r="F16" s="13">
        <f t="shared" si="5"/>
        <v>2</v>
      </c>
      <c r="G16" s="13">
        <f t="shared" si="6"/>
        <v>0</v>
      </c>
      <c r="H16" s="13">
        <f t="shared" si="7"/>
        <v>0</v>
      </c>
      <c r="I16" s="13">
        <f t="shared" si="8"/>
        <v>1</v>
      </c>
      <c r="J16" s="13">
        <f t="shared" si="9"/>
        <v>0</v>
      </c>
      <c r="K16" s="13" t="b">
        <f t="shared" si="10"/>
        <v>1</v>
      </c>
      <c r="L16" s="59">
        <f t="shared" si="11"/>
        <v>14</v>
      </c>
      <c r="M16" s="10">
        <v>4</v>
      </c>
      <c r="N16" s="8" t="s">
        <v>588</v>
      </c>
      <c r="O16" s="9">
        <f>IF(ISBLANK($N16),"",VLOOKUP($N16,List!$B$1:$F$2000,2,0))</f>
        <v>39556</v>
      </c>
      <c r="P16" s="10" t="str">
        <f>IF(ISBLANK($N16),"",VLOOKUP($N16,List!$B$1:$F$2000,3,0))</f>
        <v>Ульяновск</v>
      </c>
      <c r="Q16" s="10" t="str">
        <f>IF(ISBLANK($N16),"",VLOOKUP($N16,List!$B$1:$F$2000,4,0))</f>
        <v>UNITY</v>
      </c>
      <c r="R16" s="11" t="str">
        <f>IF(ISBLANK($N16),"",VLOOKUP($N16,List!$B$1:$F$2000,5,0))</f>
        <v>Мужской</v>
      </c>
      <c r="S16" s="61">
        <f t="shared" si="12"/>
        <v>6</v>
      </c>
      <c r="T16" s="16">
        <f t="shared" si="13"/>
        <v>2008</v>
      </c>
      <c r="U16" s="7"/>
      <c r="V16" t="s">
        <v>26</v>
      </c>
      <c r="W16" s="81">
        <v>13</v>
      </c>
      <c r="X16" s="82"/>
      <c r="Y16" s="11">
        <f t="shared" si="14"/>
        <v>0</v>
      </c>
      <c r="Z16" s="11">
        <f t="shared" si="15"/>
        <v>0</v>
      </c>
      <c r="AA16" s="39"/>
    </row>
    <row r="17" spans="1:27" x14ac:dyDescent="0.2">
      <c r="A17" s="13">
        <f t="shared" si="0"/>
        <v>3</v>
      </c>
      <c r="B17" s="13">
        <f t="shared" si="1"/>
        <v>5</v>
      </c>
      <c r="C17" s="13">
        <f t="shared" si="2"/>
        <v>2</v>
      </c>
      <c r="D17" s="13">
        <f t="shared" si="3"/>
        <v>1</v>
      </c>
      <c r="E17" s="13">
        <f t="shared" si="4"/>
        <v>1</v>
      </c>
      <c r="F17" s="13">
        <f t="shared" si="5"/>
        <v>2</v>
      </c>
      <c r="G17" s="13">
        <f t="shared" si="6"/>
        <v>0</v>
      </c>
      <c r="H17" s="13">
        <f t="shared" si="7"/>
        <v>0</v>
      </c>
      <c r="I17" s="13">
        <f t="shared" si="8"/>
        <v>1</v>
      </c>
      <c r="J17" s="13">
        <f t="shared" si="9"/>
        <v>0</v>
      </c>
      <c r="K17" s="13" t="b">
        <f t="shared" si="10"/>
        <v>1</v>
      </c>
      <c r="L17" s="59">
        <f t="shared" si="11"/>
        <v>15</v>
      </c>
      <c r="M17" s="10">
        <v>1</v>
      </c>
      <c r="N17" s="8" t="s">
        <v>250</v>
      </c>
      <c r="O17" s="9">
        <f>IF(ISBLANK($N17),"",VLOOKUP($N17,List!$B$1:$F$2000,2,0))</f>
        <v>39818</v>
      </c>
      <c r="P17" s="10" t="str">
        <f>IF(ISBLANK($N17),"",VLOOKUP($N17,List!$B$1:$F$2000,3,0))</f>
        <v>Ульяновск</v>
      </c>
      <c r="Q17" s="10" t="str">
        <f>IF(ISBLANK($N17),"",VLOOKUP($N17,List!$B$1:$F$2000,4,0))</f>
        <v>UNITY</v>
      </c>
      <c r="R17" s="11" t="str">
        <f>IF(ISBLANK($N17),"",VLOOKUP($N17,List!$B$1:$F$2000,5,0))</f>
        <v>Мужской</v>
      </c>
      <c r="S17" s="61">
        <f t="shared" si="12"/>
        <v>5</v>
      </c>
      <c r="T17" s="16">
        <f t="shared" si="13"/>
        <v>2009</v>
      </c>
      <c r="U17" s="7"/>
      <c r="V17" t="s">
        <v>26</v>
      </c>
      <c r="W17" s="81">
        <v>14</v>
      </c>
      <c r="X17" s="82"/>
      <c r="Y17" s="11">
        <f t="shared" si="14"/>
        <v>0</v>
      </c>
      <c r="Z17" s="11">
        <f t="shared" si="15"/>
        <v>0</v>
      </c>
      <c r="AA17" s="39"/>
    </row>
    <row r="18" spans="1:27" ht="13.5" thickBot="1" x14ac:dyDescent="0.25">
      <c r="A18" s="13">
        <f t="shared" si="0"/>
        <v>3</v>
      </c>
      <c r="B18" s="13">
        <f t="shared" si="1"/>
        <v>6</v>
      </c>
      <c r="C18" s="13">
        <f t="shared" si="2"/>
        <v>2</v>
      </c>
      <c r="D18" s="13">
        <f t="shared" si="3"/>
        <v>1</v>
      </c>
      <c r="E18" s="13">
        <f t="shared" si="4"/>
        <v>1</v>
      </c>
      <c r="F18" s="13">
        <f t="shared" si="5"/>
        <v>2</v>
      </c>
      <c r="G18" s="13">
        <f t="shared" si="6"/>
        <v>0</v>
      </c>
      <c r="H18" s="13">
        <f t="shared" si="7"/>
        <v>0</v>
      </c>
      <c r="I18" s="13">
        <f t="shared" si="8"/>
        <v>1</v>
      </c>
      <c r="J18" s="13">
        <f t="shared" si="9"/>
        <v>0</v>
      </c>
      <c r="K18" s="13" t="b">
        <f t="shared" si="10"/>
        <v>1</v>
      </c>
      <c r="L18" s="59">
        <f t="shared" si="11"/>
        <v>16</v>
      </c>
      <c r="M18" s="10">
        <v>12</v>
      </c>
      <c r="N18" s="8" t="s">
        <v>603</v>
      </c>
      <c r="O18" s="51">
        <f>IF(ISBLANK($N18),"",VLOOKUP($N18,List!$B$1:$F$2000,2,0))</f>
        <v>39594</v>
      </c>
      <c r="P18" s="10" t="str">
        <f>IF(ISBLANK($N18),"",VLOOKUP($N18,List!$B$1:$F$2000,3,0))</f>
        <v>Ульяновск</v>
      </c>
      <c r="Q18" s="10" t="str">
        <f>IF(ISBLANK($N18),"",VLOOKUP($N18,List!$B$1:$F$2000,4,0))</f>
        <v>Jerzy</v>
      </c>
      <c r="R18" s="11" t="str">
        <f>IF(ISBLANK($N18),"",VLOOKUP($N18,List!$B$1:$F$2000,5,0))</f>
        <v>Женский</v>
      </c>
      <c r="S18" s="61">
        <f t="shared" si="12"/>
        <v>6</v>
      </c>
      <c r="T18" s="16">
        <f t="shared" si="13"/>
        <v>2008</v>
      </c>
      <c r="U18" s="7"/>
      <c r="V18" t="s">
        <v>26</v>
      </c>
      <c r="W18" s="79">
        <v>15</v>
      </c>
      <c r="X18" s="83"/>
      <c r="Y18" s="79">
        <f t="shared" si="14"/>
        <v>0</v>
      </c>
      <c r="Z18" s="67">
        <f t="shared" si="15"/>
        <v>0</v>
      </c>
      <c r="AA18" s="39"/>
    </row>
    <row r="19" spans="1:27" x14ac:dyDescent="0.2">
      <c r="A19" s="13">
        <f t="shared" si="0"/>
        <v>3</v>
      </c>
      <c r="B19" s="13">
        <f t="shared" si="1"/>
        <v>6</v>
      </c>
      <c r="C19" s="13">
        <f t="shared" si="2"/>
        <v>2</v>
      </c>
      <c r="D19" s="13">
        <f t="shared" si="3"/>
        <v>2</v>
      </c>
      <c r="E19" s="13">
        <f t="shared" si="4"/>
        <v>1</v>
      </c>
      <c r="F19" s="13">
        <f t="shared" si="5"/>
        <v>2</v>
      </c>
      <c r="G19" s="13">
        <f t="shared" si="6"/>
        <v>0</v>
      </c>
      <c r="H19" s="13">
        <f t="shared" si="7"/>
        <v>0</v>
      </c>
      <c r="I19" s="13">
        <f t="shared" si="8"/>
        <v>1</v>
      </c>
      <c r="J19" s="13">
        <f t="shared" si="9"/>
        <v>0</v>
      </c>
      <c r="K19" s="13" t="b">
        <f t="shared" si="10"/>
        <v>1</v>
      </c>
      <c r="L19" s="59">
        <f t="shared" si="11"/>
        <v>17</v>
      </c>
      <c r="M19" s="10">
        <v>47</v>
      </c>
      <c r="N19" s="8" t="s">
        <v>440</v>
      </c>
      <c r="O19" s="9">
        <f>IF(ISBLANK($N19),"",VLOOKUP($N19,List!$B$1:$F$2000,2,0))</f>
        <v>38462</v>
      </c>
      <c r="P19" s="10" t="str">
        <f>IF(ISBLANK($N19),"",VLOOKUP($N19,List!$B$1:$F$2000,3,0))</f>
        <v>Ульяновск</v>
      </c>
      <c r="Q19" s="10" t="str">
        <f>IF(ISBLANK($N19),"",VLOOKUP($N19,List!$B$1:$F$2000,4,0))</f>
        <v xml:space="preserve"> </v>
      </c>
      <c r="R19" s="11" t="str">
        <f>IF(ISBLANK($N19),"",VLOOKUP($N19,List!$B$1:$F$2000,5,0))</f>
        <v>Женский</v>
      </c>
      <c r="S19" s="61">
        <f t="shared" si="12"/>
        <v>9</v>
      </c>
      <c r="T19" s="16">
        <f t="shared" si="13"/>
        <v>2005</v>
      </c>
      <c r="U19" s="7"/>
      <c r="V19" t="s">
        <v>26</v>
      </c>
      <c r="X19" s="39"/>
      <c r="Y19" s="84"/>
      <c r="Z19" s="84">
        <f t="shared" si="15"/>
        <v>0</v>
      </c>
      <c r="AA19" s="39"/>
    </row>
    <row r="20" spans="1:27" x14ac:dyDescent="0.2">
      <c r="A20" s="13">
        <f t="shared" si="0"/>
        <v>3</v>
      </c>
      <c r="B20" s="13">
        <f t="shared" si="1"/>
        <v>7</v>
      </c>
      <c r="C20" s="13">
        <f t="shared" si="2"/>
        <v>2</v>
      </c>
      <c r="D20" s="13">
        <f t="shared" si="3"/>
        <v>2</v>
      </c>
      <c r="E20" s="13">
        <f t="shared" si="4"/>
        <v>1</v>
      </c>
      <c r="F20" s="13">
        <f t="shared" si="5"/>
        <v>2</v>
      </c>
      <c r="G20" s="13">
        <f t="shared" si="6"/>
        <v>0</v>
      </c>
      <c r="H20" s="13">
        <f t="shared" si="7"/>
        <v>0</v>
      </c>
      <c r="I20" s="13">
        <f t="shared" si="8"/>
        <v>1</v>
      </c>
      <c r="J20" s="13">
        <f t="shared" si="9"/>
        <v>0</v>
      </c>
      <c r="K20" s="13" t="b">
        <f t="shared" si="10"/>
        <v>1</v>
      </c>
      <c r="L20" s="59">
        <f t="shared" si="11"/>
        <v>18</v>
      </c>
      <c r="M20" s="10">
        <v>31</v>
      </c>
      <c r="N20" s="8" t="s">
        <v>610</v>
      </c>
      <c r="O20" s="9">
        <f>IF(ISBLANK($N20),"",VLOOKUP($N20,List!$B$1:$F$2000,2,0))</f>
        <v>39269</v>
      </c>
      <c r="P20" s="10" t="str">
        <f>IF(ISBLANK($N20),"",VLOOKUP($N20,List!$B$1:$F$2000,3,0))</f>
        <v>Ульяновск</v>
      </c>
      <c r="Q20" s="10" t="str">
        <f>IF(ISBLANK($N20),"",VLOOKUP($N20,List!$B$1:$F$2000,4,0))</f>
        <v xml:space="preserve"> </v>
      </c>
      <c r="R20" s="11" t="str">
        <f>IF(ISBLANK($N20),"",VLOOKUP($N20,List!$B$1:$F$2000,5,0))</f>
        <v>Женский</v>
      </c>
      <c r="S20" s="61">
        <f t="shared" si="12"/>
        <v>7</v>
      </c>
      <c r="T20" s="16">
        <f t="shared" si="13"/>
        <v>2007</v>
      </c>
      <c r="U20" s="7"/>
      <c r="V20" t="s">
        <v>26</v>
      </c>
      <c r="X20" s="39"/>
      <c r="Y20" s="7"/>
      <c r="Z20" s="84"/>
      <c r="AA20" s="39"/>
    </row>
    <row r="21" spans="1:27" x14ac:dyDescent="0.2">
      <c r="A21" s="13">
        <f t="shared" si="0"/>
        <v>3</v>
      </c>
      <c r="B21" s="13">
        <f t="shared" si="1"/>
        <v>7</v>
      </c>
      <c r="C21" s="13">
        <f t="shared" si="2"/>
        <v>2</v>
      </c>
      <c r="D21" s="13">
        <f t="shared" si="3"/>
        <v>2</v>
      </c>
      <c r="E21" s="13">
        <f t="shared" si="4"/>
        <v>1</v>
      </c>
      <c r="F21" s="13">
        <f t="shared" si="5"/>
        <v>3</v>
      </c>
      <c r="G21" s="13">
        <f t="shared" si="6"/>
        <v>0</v>
      </c>
      <c r="H21" s="13">
        <f t="shared" si="7"/>
        <v>0</v>
      </c>
      <c r="I21" s="13">
        <f t="shared" si="8"/>
        <v>1</v>
      </c>
      <c r="J21" s="13">
        <f t="shared" si="9"/>
        <v>0</v>
      </c>
      <c r="K21" s="13" t="b">
        <f t="shared" si="10"/>
        <v>1</v>
      </c>
      <c r="L21" s="59">
        <f t="shared" si="11"/>
        <v>19</v>
      </c>
      <c r="M21" s="10">
        <v>9</v>
      </c>
      <c r="N21" s="8" t="s">
        <v>601</v>
      </c>
      <c r="O21" s="9">
        <f>IF(ISBLANK($N21),"",VLOOKUP($N21,List!$B$1:$F$2000,2,0))</f>
        <v>37775</v>
      </c>
      <c r="P21" s="10" t="str">
        <f>IF(ISBLANK($N21),"",VLOOKUP($N21,List!$B$1:$F$2000,3,0))</f>
        <v>Ульяновск</v>
      </c>
      <c r="Q21" s="10" t="str">
        <f>IF(ISBLANK($N21),"",VLOOKUP($N21,List!$B$1:$F$2000,4,0))</f>
        <v>Jerzy</v>
      </c>
      <c r="R21" s="11" t="str">
        <f>IF(ISBLANK($N21),"",VLOOKUP($N21,List!$B$1:$F$2000,5,0))</f>
        <v>Женский</v>
      </c>
      <c r="S21" s="61">
        <f t="shared" si="12"/>
        <v>11</v>
      </c>
      <c r="T21" s="16">
        <f t="shared" si="13"/>
        <v>2003</v>
      </c>
      <c r="U21" s="7"/>
      <c r="V21" t="s">
        <v>26</v>
      </c>
      <c r="X21" s="39"/>
      <c r="Y21" s="7"/>
      <c r="Z21" s="84"/>
      <c r="AA21" s="39"/>
    </row>
    <row r="22" spans="1:27" x14ac:dyDescent="0.2">
      <c r="A22" s="13">
        <f t="shared" si="0"/>
        <v>3</v>
      </c>
      <c r="B22" s="13">
        <f t="shared" si="1"/>
        <v>7</v>
      </c>
      <c r="C22" s="13">
        <f t="shared" si="2"/>
        <v>2</v>
      </c>
      <c r="D22" s="13">
        <f t="shared" si="3"/>
        <v>2</v>
      </c>
      <c r="E22" s="13">
        <f t="shared" si="4"/>
        <v>2</v>
      </c>
      <c r="F22" s="13">
        <f t="shared" si="5"/>
        <v>3</v>
      </c>
      <c r="G22" s="13">
        <f t="shared" si="6"/>
        <v>0</v>
      </c>
      <c r="H22" s="13">
        <f t="shared" si="7"/>
        <v>0</v>
      </c>
      <c r="I22" s="13">
        <f t="shared" si="8"/>
        <v>1</v>
      </c>
      <c r="J22" s="13">
        <f t="shared" si="9"/>
        <v>0</v>
      </c>
      <c r="K22" s="13" t="b">
        <f t="shared" si="10"/>
        <v>1</v>
      </c>
      <c r="L22" s="59">
        <f t="shared" si="11"/>
        <v>20</v>
      </c>
      <c r="M22" s="10">
        <v>20</v>
      </c>
      <c r="N22" s="8" t="s">
        <v>600</v>
      </c>
      <c r="O22" s="9">
        <f>IF(ISBLANK($N22),"",VLOOKUP($N22,List!$B$1:$F$2000,2,0))</f>
        <v>37773</v>
      </c>
      <c r="P22" s="10" t="str">
        <f>IF(ISBLANK($N22),"",VLOOKUP($N22,List!$B$1:$F$2000,3,0))</f>
        <v>Ульяновск</v>
      </c>
      <c r="Q22" s="10" t="str">
        <f>IF(ISBLANK($N22),"",VLOOKUP($N22,List!$B$1:$F$2000,4,0))</f>
        <v xml:space="preserve"> </v>
      </c>
      <c r="R22" s="11" t="str">
        <f>IF(ISBLANK($N22),"",VLOOKUP($N22,List!$B$1:$F$2000,5,0))</f>
        <v>Мужской</v>
      </c>
      <c r="S22" s="61">
        <f t="shared" si="12"/>
        <v>11</v>
      </c>
      <c r="T22" s="16">
        <f t="shared" si="13"/>
        <v>2003</v>
      </c>
      <c r="U22" s="7"/>
      <c r="V22" t="s">
        <v>26</v>
      </c>
      <c r="X22" s="39"/>
      <c r="Y22" s="7"/>
      <c r="Z22" s="84"/>
      <c r="AA22" s="39"/>
    </row>
    <row r="23" spans="1:27" x14ac:dyDescent="0.2">
      <c r="A23" s="13">
        <f t="shared" si="0"/>
        <v>4</v>
      </c>
      <c r="B23" s="13">
        <f t="shared" si="1"/>
        <v>7</v>
      </c>
      <c r="C23" s="13">
        <f t="shared" si="2"/>
        <v>2</v>
      </c>
      <c r="D23" s="13">
        <f t="shared" si="3"/>
        <v>2</v>
      </c>
      <c r="E23" s="13">
        <f t="shared" si="4"/>
        <v>2</v>
      </c>
      <c r="F23" s="13">
        <f t="shared" si="5"/>
        <v>3</v>
      </c>
      <c r="G23" s="13">
        <f t="shared" si="6"/>
        <v>0</v>
      </c>
      <c r="H23" s="13">
        <f t="shared" si="7"/>
        <v>0</v>
      </c>
      <c r="I23" s="13">
        <f t="shared" si="8"/>
        <v>1</v>
      </c>
      <c r="J23" s="13">
        <f t="shared" si="9"/>
        <v>0</v>
      </c>
      <c r="K23" s="13" t="b">
        <f t="shared" si="10"/>
        <v>1</v>
      </c>
      <c r="L23" s="59">
        <f t="shared" si="11"/>
        <v>21</v>
      </c>
      <c r="M23" s="10">
        <v>50</v>
      </c>
      <c r="N23" s="8" t="s">
        <v>578</v>
      </c>
      <c r="O23" s="9">
        <f>IF(ISBLANK($N23),"",VLOOKUP($N23,List!$B$1:$F$2000,2,0))</f>
        <v>39576</v>
      </c>
      <c r="P23" s="10" t="str">
        <f>IF(ISBLANK($N23),"",VLOOKUP($N23,List!$B$1:$F$2000,3,0))</f>
        <v>Ульяновск</v>
      </c>
      <c r="Q23" s="10" t="str">
        <f>IF(ISBLANK($N23),"",VLOOKUP($N23,List!$B$1:$F$2000,4,0))</f>
        <v xml:space="preserve"> </v>
      </c>
      <c r="R23" s="11" t="str">
        <f>IF(ISBLANK($N23),"",VLOOKUP($N23,List!$B$1:$F$2000,5,0))</f>
        <v>Мужской</v>
      </c>
      <c r="S23" s="61">
        <f t="shared" si="12"/>
        <v>6</v>
      </c>
      <c r="T23" s="16">
        <f t="shared" si="13"/>
        <v>2008</v>
      </c>
      <c r="U23" s="7"/>
      <c r="V23" t="s">
        <v>26</v>
      </c>
      <c r="X23" s="39"/>
      <c r="Y23" s="7"/>
      <c r="Z23" s="84"/>
      <c r="AA23" s="39"/>
    </row>
    <row r="24" spans="1:27" x14ac:dyDescent="0.2">
      <c r="A24" s="13">
        <f t="shared" si="0"/>
        <v>4</v>
      </c>
      <c r="B24" s="13">
        <f t="shared" si="1"/>
        <v>7</v>
      </c>
      <c r="C24" s="13">
        <f t="shared" si="2"/>
        <v>2</v>
      </c>
      <c r="D24" s="13">
        <f t="shared" si="3"/>
        <v>3</v>
      </c>
      <c r="E24" s="13">
        <f t="shared" si="4"/>
        <v>2</v>
      </c>
      <c r="F24" s="13">
        <f t="shared" si="5"/>
        <v>3</v>
      </c>
      <c r="G24" s="13">
        <f t="shared" si="6"/>
        <v>0</v>
      </c>
      <c r="H24" s="13">
        <f t="shared" si="7"/>
        <v>0</v>
      </c>
      <c r="I24" s="13">
        <f t="shared" si="8"/>
        <v>1</v>
      </c>
      <c r="J24" s="13">
        <f t="shared" si="9"/>
        <v>0</v>
      </c>
      <c r="K24" s="13" t="b">
        <f t="shared" si="10"/>
        <v>1</v>
      </c>
      <c r="L24" s="59">
        <f t="shared" si="11"/>
        <v>22</v>
      </c>
      <c r="M24" s="10">
        <v>19</v>
      </c>
      <c r="N24" s="8" t="s">
        <v>594</v>
      </c>
      <c r="O24" s="9">
        <f>IF(ISBLANK($N24),"",VLOOKUP($N24,List!$B$1:$F$2000,2,0))</f>
        <v>38418</v>
      </c>
      <c r="P24" s="10" t="str">
        <f>IF(ISBLANK($N24),"",VLOOKUP($N24,List!$B$1:$F$2000,3,0))</f>
        <v>Ульяновск</v>
      </c>
      <c r="Q24" s="10" t="str">
        <f>IF(ISBLANK($N24),"",VLOOKUP($N24,List!$B$1:$F$2000,4,0))</f>
        <v xml:space="preserve"> </v>
      </c>
      <c r="R24" s="11" t="str">
        <f>IF(ISBLANK($N24),"",VLOOKUP($N24,List!$B$1:$F$2000,5,0))</f>
        <v>Женский</v>
      </c>
      <c r="S24" s="61">
        <f t="shared" si="12"/>
        <v>9</v>
      </c>
      <c r="T24" s="16">
        <f t="shared" si="13"/>
        <v>2005</v>
      </c>
      <c r="U24" s="7"/>
      <c r="V24" t="s">
        <v>26</v>
      </c>
      <c r="X24" s="39"/>
      <c r="Y24" s="7"/>
      <c r="Z24" s="84"/>
      <c r="AA24" s="39"/>
    </row>
    <row r="25" spans="1:27" x14ac:dyDescent="0.2">
      <c r="A25" s="13">
        <f t="shared" si="0"/>
        <v>4</v>
      </c>
      <c r="B25" s="13">
        <f t="shared" si="1"/>
        <v>7</v>
      </c>
      <c r="C25" s="13">
        <f t="shared" si="2"/>
        <v>2</v>
      </c>
      <c r="D25" s="13">
        <f t="shared" si="3"/>
        <v>4</v>
      </c>
      <c r="E25" s="13">
        <f t="shared" si="4"/>
        <v>2</v>
      </c>
      <c r="F25" s="13">
        <f t="shared" si="5"/>
        <v>3</v>
      </c>
      <c r="G25" s="13">
        <f t="shared" si="6"/>
        <v>0</v>
      </c>
      <c r="H25" s="13">
        <f t="shared" si="7"/>
        <v>0</v>
      </c>
      <c r="I25" s="13">
        <f t="shared" si="8"/>
        <v>1</v>
      </c>
      <c r="J25" s="13">
        <f t="shared" si="9"/>
        <v>0</v>
      </c>
      <c r="K25" s="13" t="b">
        <f t="shared" si="10"/>
        <v>1</v>
      </c>
      <c r="L25" s="59">
        <f t="shared" si="11"/>
        <v>23</v>
      </c>
      <c r="M25" s="10">
        <v>21</v>
      </c>
      <c r="N25" s="8" t="s">
        <v>443</v>
      </c>
      <c r="O25" s="9">
        <f>IF(ISBLANK($N25),"",VLOOKUP($N25,List!$B$1:$F$2000,2,0))</f>
        <v>38042</v>
      </c>
      <c r="P25" s="10" t="str">
        <f>IF(ISBLANK($N25),"",VLOOKUP($N25,List!$B$1:$F$2000,3,0))</f>
        <v>Ульяновск</v>
      </c>
      <c r="Q25" s="10" t="str">
        <f>IF(ISBLANK($N25),"",VLOOKUP($N25,List!$B$1:$F$2000,4,0))</f>
        <v xml:space="preserve"> </v>
      </c>
      <c r="R25" s="11" t="str">
        <f>IF(ISBLANK($N25),"",VLOOKUP($N25,List!$B$1:$F$2000,5,0))</f>
        <v>Женский</v>
      </c>
      <c r="S25" s="61">
        <f t="shared" si="12"/>
        <v>10</v>
      </c>
      <c r="T25" s="16">
        <f t="shared" si="13"/>
        <v>2004</v>
      </c>
      <c r="U25" s="7"/>
      <c r="V25" t="s">
        <v>26</v>
      </c>
      <c r="X25" s="39"/>
      <c r="Y25" s="7"/>
      <c r="Z25" s="84"/>
      <c r="AA25" s="39"/>
    </row>
    <row r="26" spans="1:27" x14ac:dyDescent="0.2">
      <c r="A26" s="13">
        <f t="shared" si="0"/>
        <v>4</v>
      </c>
      <c r="B26" s="13">
        <f t="shared" si="1"/>
        <v>7</v>
      </c>
      <c r="C26" s="13">
        <f t="shared" si="2"/>
        <v>2</v>
      </c>
      <c r="D26" s="13">
        <f t="shared" si="3"/>
        <v>4</v>
      </c>
      <c r="E26" s="13">
        <f t="shared" si="4"/>
        <v>2</v>
      </c>
      <c r="F26" s="13">
        <f t="shared" si="5"/>
        <v>3</v>
      </c>
      <c r="G26" s="13">
        <f t="shared" si="6"/>
        <v>0</v>
      </c>
      <c r="H26" s="13">
        <f t="shared" si="7"/>
        <v>0</v>
      </c>
      <c r="I26" s="13">
        <f t="shared" si="8"/>
        <v>1</v>
      </c>
      <c r="J26" s="13">
        <f t="shared" si="9"/>
        <v>0</v>
      </c>
      <c r="K26" s="13" t="b">
        <f t="shared" si="10"/>
        <v>0</v>
      </c>
      <c r="L26" s="59">
        <f t="shared" si="11"/>
        <v>24</v>
      </c>
      <c r="M26" s="10"/>
      <c r="N26" s="8" t="s">
        <v>605</v>
      </c>
      <c r="O26" s="9">
        <f>IF(ISBLANK($N26),"",VLOOKUP($N26,List!$B$1:$F$2000,2,0))</f>
        <v>38523</v>
      </c>
      <c r="P26" s="10" t="str">
        <f>IF(ISBLANK($N26),"",VLOOKUP($N26,List!$B$1:$F$2000,3,0))</f>
        <v>Ульяновск</v>
      </c>
      <c r="Q26" s="10" t="str">
        <f>IF(ISBLANK($N26),"",VLOOKUP($N26,List!$B$1:$F$2000,4,0))</f>
        <v>Jerzy</v>
      </c>
      <c r="R26" s="11" t="str">
        <f>IF(ISBLANK($N26),"",VLOOKUP($N26,List!$B$1:$F$2000,5,0))</f>
        <v>Женский</v>
      </c>
      <c r="S26" s="61">
        <f t="shared" si="12"/>
        <v>9</v>
      </c>
      <c r="T26" s="16">
        <f t="shared" si="13"/>
        <v>2005</v>
      </c>
      <c r="U26" s="7"/>
      <c r="V26" t="s">
        <v>26</v>
      </c>
      <c r="X26" s="39"/>
      <c r="Y26" s="7"/>
      <c r="Z26" s="84"/>
      <c r="AA26" s="39"/>
    </row>
    <row r="27" spans="1:27" x14ac:dyDescent="0.2">
      <c r="A27" s="13">
        <f t="shared" si="0"/>
        <v>4</v>
      </c>
      <c r="B27" s="13">
        <f t="shared" si="1"/>
        <v>7</v>
      </c>
      <c r="C27" s="13">
        <f t="shared" si="2"/>
        <v>2</v>
      </c>
      <c r="D27" s="13">
        <f t="shared" si="3"/>
        <v>4</v>
      </c>
      <c r="E27" s="13">
        <f t="shared" si="4"/>
        <v>2</v>
      </c>
      <c r="F27" s="13">
        <f t="shared" si="5"/>
        <v>3</v>
      </c>
      <c r="G27" s="13">
        <f t="shared" si="6"/>
        <v>0</v>
      </c>
      <c r="H27" s="13">
        <f t="shared" si="7"/>
        <v>0</v>
      </c>
      <c r="I27" s="13">
        <f t="shared" si="8"/>
        <v>1</v>
      </c>
      <c r="J27" s="13">
        <f t="shared" si="9"/>
        <v>0</v>
      </c>
      <c r="K27" s="13" t="b">
        <f t="shared" si="10"/>
        <v>0</v>
      </c>
      <c r="L27" s="59">
        <f t="shared" si="11"/>
        <v>25</v>
      </c>
      <c r="M27" s="10"/>
      <c r="N27" s="8" t="s">
        <v>446</v>
      </c>
      <c r="O27" s="9">
        <f>IF(ISBLANK($N27),"",VLOOKUP($N27,List!$B$1:$F$2000,2,0))</f>
        <v>37788</v>
      </c>
      <c r="P27" s="10" t="str">
        <f>IF(ISBLANK($N27),"",VLOOKUP($N27,List!$B$1:$F$2000,3,0))</f>
        <v>Ульяновск</v>
      </c>
      <c r="Q27" s="10" t="str">
        <f>IF(ISBLANK($N27),"",VLOOKUP($N27,List!$B$1:$F$2000,4,0))</f>
        <v xml:space="preserve"> </v>
      </c>
      <c r="R27" s="11" t="str">
        <f>IF(ISBLANK($N27),"",VLOOKUP($N27,List!$B$1:$F$2000,5,0))</f>
        <v>Мужской</v>
      </c>
      <c r="S27" s="61">
        <f t="shared" si="12"/>
        <v>11</v>
      </c>
      <c r="T27" s="16">
        <f t="shared" si="13"/>
        <v>2003</v>
      </c>
      <c r="U27" s="7"/>
      <c r="V27" t="s">
        <v>26</v>
      </c>
      <c r="X27" s="39"/>
      <c r="Y27" s="7"/>
      <c r="Z27" s="84"/>
      <c r="AA27" s="39"/>
    </row>
    <row r="28" spans="1:27" x14ac:dyDescent="0.2">
      <c r="A28" s="13">
        <f t="shared" si="0"/>
        <v>4</v>
      </c>
      <c r="B28" s="13">
        <f t="shared" si="1"/>
        <v>7</v>
      </c>
      <c r="C28" s="13">
        <f t="shared" si="2"/>
        <v>2</v>
      </c>
      <c r="D28" s="13">
        <f t="shared" si="3"/>
        <v>4</v>
      </c>
      <c r="E28" s="13">
        <f t="shared" si="4"/>
        <v>2</v>
      </c>
      <c r="F28" s="13">
        <f t="shared" si="5"/>
        <v>3</v>
      </c>
      <c r="G28" s="13">
        <f t="shared" si="6"/>
        <v>0</v>
      </c>
      <c r="H28" s="13">
        <f t="shared" si="7"/>
        <v>0</v>
      </c>
      <c r="I28" s="13">
        <f t="shared" si="8"/>
        <v>1</v>
      </c>
      <c r="J28" s="13">
        <f t="shared" si="9"/>
        <v>0</v>
      </c>
      <c r="K28" s="13" t="b">
        <f t="shared" si="10"/>
        <v>0</v>
      </c>
      <c r="L28" s="59">
        <f t="shared" si="11"/>
        <v>26</v>
      </c>
      <c r="M28" s="10"/>
      <c r="N28" s="8" t="s">
        <v>447</v>
      </c>
      <c r="O28" s="9">
        <f>IF(ISBLANK($N28),"",VLOOKUP($N28,List!$B$1:$F$2000,2,0))</f>
        <v>38715</v>
      </c>
      <c r="P28" s="10" t="str">
        <f>IF(ISBLANK($N28),"",VLOOKUP($N28,List!$B$1:$F$2000,3,0))</f>
        <v>Ульяновск</v>
      </c>
      <c r="Q28" s="10" t="str">
        <f>IF(ISBLANK($N28),"",VLOOKUP($N28,List!$B$1:$F$2000,4,0))</f>
        <v xml:space="preserve"> </v>
      </c>
      <c r="R28" s="11" t="str">
        <f>IF(ISBLANK($N28),"",VLOOKUP($N28,List!$B$1:$F$2000,5,0))</f>
        <v>Женский</v>
      </c>
      <c r="S28" s="61">
        <f t="shared" si="12"/>
        <v>9</v>
      </c>
      <c r="T28" s="16">
        <f t="shared" si="13"/>
        <v>2005</v>
      </c>
      <c r="U28" s="7"/>
      <c r="V28" t="s">
        <v>26</v>
      </c>
      <c r="X28" s="39"/>
      <c r="Y28" s="7"/>
      <c r="Z28" s="84"/>
      <c r="AA28" s="39"/>
    </row>
    <row r="29" spans="1:27" x14ac:dyDescent="0.2">
      <c r="A29" s="13">
        <f t="shared" si="0"/>
        <v>5</v>
      </c>
      <c r="B29" s="13">
        <f t="shared" si="1"/>
        <v>7</v>
      </c>
      <c r="C29" s="13">
        <f t="shared" si="2"/>
        <v>2</v>
      </c>
      <c r="D29" s="13">
        <f t="shared" si="3"/>
        <v>4</v>
      </c>
      <c r="E29" s="13">
        <f t="shared" si="4"/>
        <v>2</v>
      </c>
      <c r="F29" s="13">
        <f t="shared" si="5"/>
        <v>3</v>
      </c>
      <c r="G29" s="13">
        <f t="shared" si="6"/>
        <v>0</v>
      </c>
      <c r="H29" s="13">
        <f t="shared" si="7"/>
        <v>0</v>
      </c>
      <c r="I29" s="13">
        <f t="shared" si="8"/>
        <v>1</v>
      </c>
      <c r="J29" s="13">
        <f t="shared" si="9"/>
        <v>0</v>
      </c>
      <c r="K29" s="13" t="b">
        <f t="shared" si="10"/>
        <v>1</v>
      </c>
      <c r="L29" s="59">
        <f t="shared" si="11"/>
        <v>27</v>
      </c>
      <c r="M29" s="10">
        <v>37</v>
      </c>
      <c r="N29" s="8" t="s">
        <v>575</v>
      </c>
      <c r="O29" s="9">
        <f>IF(ISBLANK($N29),"",VLOOKUP($N29,List!$B$1:$F$2000,2,0))</f>
        <v>40051</v>
      </c>
      <c r="P29" s="10" t="str">
        <f>IF(ISBLANK($N29),"",VLOOKUP($N29,List!$B$1:$F$2000,3,0))</f>
        <v>Ульяновск</v>
      </c>
      <c r="Q29" s="10" t="str">
        <f>IF(ISBLANK($N29),"",VLOOKUP($N29,List!$B$1:$F$2000,4,0))</f>
        <v>UNITY</v>
      </c>
      <c r="R29" s="11" t="str">
        <f>IF(ISBLANK($N29),"",VLOOKUP($N29,List!$B$1:$F$2000,5,0))</f>
        <v>Мужской</v>
      </c>
      <c r="S29" s="61">
        <f t="shared" si="12"/>
        <v>5</v>
      </c>
      <c r="T29" s="16">
        <f t="shared" si="13"/>
        <v>2009</v>
      </c>
      <c r="U29" s="7"/>
      <c r="V29" t="s">
        <v>26</v>
      </c>
      <c r="X29" s="39"/>
      <c r="Y29" s="7"/>
      <c r="Z29" s="84"/>
      <c r="AA29" s="39"/>
    </row>
    <row r="30" spans="1:27" x14ac:dyDescent="0.2">
      <c r="A30" s="13">
        <f t="shared" si="0"/>
        <v>5</v>
      </c>
      <c r="B30" s="13">
        <f t="shared" si="1"/>
        <v>7</v>
      </c>
      <c r="C30" s="13">
        <f t="shared" si="2"/>
        <v>2</v>
      </c>
      <c r="D30" s="13">
        <f t="shared" si="3"/>
        <v>4</v>
      </c>
      <c r="E30" s="13">
        <f t="shared" si="4"/>
        <v>2</v>
      </c>
      <c r="F30" s="13">
        <f t="shared" si="5"/>
        <v>4</v>
      </c>
      <c r="G30" s="13">
        <f t="shared" si="6"/>
        <v>0</v>
      </c>
      <c r="H30" s="13">
        <f t="shared" si="7"/>
        <v>0</v>
      </c>
      <c r="I30" s="13">
        <f t="shared" si="8"/>
        <v>1</v>
      </c>
      <c r="J30" s="13">
        <f t="shared" si="9"/>
        <v>0</v>
      </c>
      <c r="K30" s="13" t="b">
        <f t="shared" si="10"/>
        <v>1</v>
      </c>
      <c r="L30" s="59">
        <f t="shared" si="11"/>
        <v>28</v>
      </c>
      <c r="M30" s="10">
        <v>43</v>
      </c>
      <c r="N30" s="8" t="s">
        <v>255</v>
      </c>
      <c r="O30" s="9">
        <f>IF(ISBLANK($N30),"",VLOOKUP($N30,List!$B$1:$F$2000,2,0))</f>
        <v>37812</v>
      </c>
      <c r="P30" s="10" t="str">
        <f>IF(ISBLANK($N30),"",VLOOKUP($N30,List!$B$1:$F$2000,3,0))</f>
        <v>Ульяновск</v>
      </c>
      <c r="Q30" s="10" t="str">
        <f>IF(ISBLANK($N30),"",VLOOKUP($N30,List!$B$1:$F$2000,4,0))</f>
        <v xml:space="preserve"> </v>
      </c>
      <c r="R30" s="11" t="str">
        <f>IF(ISBLANK($N30),"",VLOOKUP($N30,List!$B$1:$F$2000,5,0))</f>
        <v>Женский</v>
      </c>
      <c r="S30" s="61">
        <f t="shared" si="12"/>
        <v>11</v>
      </c>
      <c r="T30" s="16">
        <f t="shared" si="13"/>
        <v>2003</v>
      </c>
      <c r="U30" s="7"/>
      <c r="V30" t="s">
        <v>26</v>
      </c>
      <c r="X30" s="39"/>
      <c r="Y30" s="7"/>
      <c r="Z30" s="7"/>
      <c r="AA30" s="39"/>
    </row>
    <row r="31" spans="1:27" x14ac:dyDescent="0.2">
      <c r="A31" s="13">
        <f t="shared" si="0"/>
        <v>5</v>
      </c>
      <c r="B31" s="13">
        <f t="shared" si="1"/>
        <v>7</v>
      </c>
      <c r="C31" s="13">
        <f t="shared" si="2"/>
        <v>2</v>
      </c>
      <c r="D31" s="13">
        <f t="shared" si="3"/>
        <v>5</v>
      </c>
      <c r="E31" s="13">
        <f t="shared" si="4"/>
        <v>2</v>
      </c>
      <c r="F31" s="13">
        <f t="shared" si="5"/>
        <v>4</v>
      </c>
      <c r="G31" s="13">
        <f t="shared" si="6"/>
        <v>0</v>
      </c>
      <c r="H31" s="13">
        <f t="shared" si="7"/>
        <v>0</v>
      </c>
      <c r="I31" s="13">
        <f t="shared" si="8"/>
        <v>1</v>
      </c>
      <c r="J31" s="13">
        <f t="shared" si="9"/>
        <v>0</v>
      </c>
      <c r="K31" s="13" t="b">
        <f t="shared" si="10"/>
        <v>1</v>
      </c>
      <c r="L31" s="59">
        <f t="shared" si="11"/>
        <v>29</v>
      </c>
      <c r="M31" s="10">
        <v>44</v>
      </c>
      <c r="N31" s="8" t="s">
        <v>254</v>
      </c>
      <c r="O31" s="9">
        <f>IF(ISBLANK($N31),"",VLOOKUP($N31,List!$B$1:$F$2000,2,0))</f>
        <v>38919</v>
      </c>
      <c r="P31" s="10" t="str">
        <f>IF(ISBLANK($N31),"",VLOOKUP($N31,List!$B$1:$F$2000,3,0))</f>
        <v>Ульяновск</v>
      </c>
      <c r="Q31" s="10" t="str">
        <f>IF(ISBLANK($N31),"",VLOOKUP($N31,List!$B$1:$F$2000,4,0))</f>
        <v xml:space="preserve"> </v>
      </c>
      <c r="R31" s="11" t="str">
        <f>IF(ISBLANK($N31),"",VLOOKUP($N31,List!$B$1:$F$2000,5,0))</f>
        <v>Женский</v>
      </c>
      <c r="S31" s="61">
        <f t="shared" si="12"/>
        <v>8</v>
      </c>
      <c r="T31" s="16">
        <f t="shared" si="13"/>
        <v>2006</v>
      </c>
      <c r="U31" s="7"/>
      <c r="V31" t="s">
        <v>26</v>
      </c>
      <c r="X31" s="39"/>
      <c r="AA31" s="39"/>
    </row>
    <row r="32" spans="1:27" x14ac:dyDescent="0.2">
      <c r="A32" s="13">
        <f t="shared" si="0"/>
        <v>5</v>
      </c>
      <c r="B32" s="13">
        <f t="shared" si="1"/>
        <v>7</v>
      </c>
      <c r="C32" s="13">
        <f t="shared" si="2"/>
        <v>2</v>
      </c>
      <c r="D32" s="13">
        <f t="shared" si="3"/>
        <v>5</v>
      </c>
      <c r="E32" s="13">
        <f t="shared" si="4"/>
        <v>3</v>
      </c>
      <c r="F32" s="13">
        <f t="shared" si="5"/>
        <v>4</v>
      </c>
      <c r="G32" s="13">
        <f t="shared" si="6"/>
        <v>0</v>
      </c>
      <c r="H32" s="13">
        <f t="shared" si="7"/>
        <v>0</v>
      </c>
      <c r="I32" s="13">
        <f t="shared" si="8"/>
        <v>1</v>
      </c>
      <c r="J32" s="13">
        <f t="shared" si="9"/>
        <v>0</v>
      </c>
      <c r="K32" s="13" t="b">
        <f t="shared" si="10"/>
        <v>1</v>
      </c>
      <c r="L32" s="59">
        <f t="shared" si="11"/>
        <v>30</v>
      </c>
      <c r="M32" s="10">
        <v>25</v>
      </c>
      <c r="N32" s="8" t="s">
        <v>450</v>
      </c>
      <c r="O32" s="9">
        <f>IF(ISBLANK($N32),"",VLOOKUP($N32,List!$B$1:$F$2000,2,0))</f>
        <v>37916</v>
      </c>
      <c r="P32" s="10" t="str">
        <f>IF(ISBLANK($N32),"",VLOOKUP($N32,List!$B$1:$F$2000,3,0))</f>
        <v>Ульяновск</v>
      </c>
      <c r="Q32" s="10" t="str">
        <f>IF(ISBLANK($N32),"",VLOOKUP($N32,List!$B$1:$F$2000,4,0))</f>
        <v>UNITY</v>
      </c>
      <c r="R32" s="11" t="str">
        <f>IF(ISBLANK($N32),"",VLOOKUP($N32,List!$B$1:$F$2000,5,0))</f>
        <v>Мужской</v>
      </c>
      <c r="S32" s="61">
        <f t="shared" si="12"/>
        <v>11</v>
      </c>
      <c r="T32" s="16">
        <f t="shared" si="13"/>
        <v>2003</v>
      </c>
      <c r="U32" s="7"/>
      <c r="V32" t="s">
        <v>26</v>
      </c>
      <c r="X32" s="39"/>
      <c r="AA32" s="39"/>
    </row>
    <row r="33" spans="1:24" x14ac:dyDescent="0.2">
      <c r="A33" s="13">
        <f t="shared" si="0"/>
        <v>5</v>
      </c>
      <c r="B33" s="13">
        <f t="shared" si="1"/>
        <v>7</v>
      </c>
      <c r="C33" s="13">
        <f t="shared" si="2"/>
        <v>2</v>
      </c>
      <c r="D33" s="13">
        <f t="shared" si="3"/>
        <v>6</v>
      </c>
      <c r="E33" s="13">
        <f t="shared" si="4"/>
        <v>3</v>
      </c>
      <c r="F33" s="13">
        <f t="shared" si="5"/>
        <v>4</v>
      </c>
      <c r="G33" s="13">
        <f t="shared" si="6"/>
        <v>0</v>
      </c>
      <c r="H33" s="13">
        <f t="shared" si="7"/>
        <v>0</v>
      </c>
      <c r="I33" s="13">
        <f t="shared" si="8"/>
        <v>1</v>
      </c>
      <c r="J33" s="13">
        <f t="shared" si="9"/>
        <v>0</v>
      </c>
      <c r="K33" s="13" t="b">
        <f t="shared" si="10"/>
        <v>1</v>
      </c>
      <c r="L33" s="59">
        <f t="shared" si="11"/>
        <v>31</v>
      </c>
      <c r="M33" s="10">
        <v>14</v>
      </c>
      <c r="N33" s="8" t="s">
        <v>453</v>
      </c>
      <c r="O33" s="9">
        <f>IF(ISBLANK($N33),"",VLOOKUP($N33,List!$B$1:$F$2000,2,0))</f>
        <v>38920</v>
      </c>
      <c r="P33" s="10" t="str">
        <f>IF(ISBLANK($N33),"",VLOOKUP($N33,List!$B$1:$F$2000,3,0))</f>
        <v>Ульяновск</v>
      </c>
      <c r="Q33" s="10" t="str">
        <f>IF(ISBLANK($N33),"",VLOOKUP($N33,List!$B$1:$F$2000,4,0))</f>
        <v xml:space="preserve"> </v>
      </c>
      <c r="R33" s="11" t="str">
        <f>IF(ISBLANK($N33),"",VLOOKUP($N33,List!$B$1:$F$2000,5,0))</f>
        <v>Женский</v>
      </c>
      <c r="S33" s="61">
        <f t="shared" si="12"/>
        <v>8</v>
      </c>
      <c r="T33" s="16">
        <f t="shared" si="13"/>
        <v>2006</v>
      </c>
      <c r="U33" s="7"/>
      <c r="V33" t="s">
        <v>26</v>
      </c>
      <c r="X33" s="39"/>
    </row>
    <row r="34" spans="1:24" x14ac:dyDescent="0.2">
      <c r="A34" s="13">
        <f t="shared" si="0"/>
        <v>5</v>
      </c>
      <c r="B34" s="13">
        <f t="shared" si="1"/>
        <v>7</v>
      </c>
      <c r="C34" s="13">
        <f t="shared" si="2"/>
        <v>2</v>
      </c>
      <c r="D34" s="13">
        <f t="shared" si="3"/>
        <v>6</v>
      </c>
      <c r="E34" s="13">
        <f t="shared" si="4"/>
        <v>3</v>
      </c>
      <c r="F34" s="13">
        <f t="shared" si="5"/>
        <v>4</v>
      </c>
      <c r="G34" s="13">
        <f t="shared" si="6"/>
        <v>0</v>
      </c>
      <c r="H34" s="13">
        <f t="shared" si="7"/>
        <v>0</v>
      </c>
      <c r="I34" s="13">
        <f t="shared" si="8"/>
        <v>1</v>
      </c>
      <c r="J34" s="13">
        <f t="shared" si="9"/>
        <v>0</v>
      </c>
      <c r="K34" s="13" t="b">
        <f t="shared" si="10"/>
        <v>0</v>
      </c>
      <c r="L34" s="59">
        <f t="shared" si="11"/>
        <v>32</v>
      </c>
      <c r="M34" s="10"/>
      <c r="N34" s="8" t="s">
        <v>48</v>
      </c>
      <c r="O34" s="9">
        <f>IF(ISBLANK($N34),"",VLOOKUP($N34,List!$B$1:$F$2000,2,0))</f>
        <v>38636</v>
      </c>
      <c r="P34" s="10" t="str">
        <f>IF(ISBLANK($N34),"",VLOOKUP($N34,List!$B$1:$F$2000,3,0))</f>
        <v>Самара</v>
      </c>
      <c r="Q34" s="10" t="str">
        <f>IF(ISBLANK($N34),"",VLOOKUP($N34,List!$B$1:$F$2000,4,0))</f>
        <v xml:space="preserve"> </v>
      </c>
      <c r="R34" s="11" t="str">
        <f>IF(ISBLANK($N34),"",VLOOKUP($N34,List!$B$1:$F$2000,5,0))</f>
        <v>Мужской</v>
      </c>
      <c r="S34" s="61">
        <f t="shared" si="12"/>
        <v>9</v>
      </c>
      <c r="T34" s="16">
        <f t="shared" si="13"/>
        <v>2005</v>
      </c>
      <c r="U34" s="7"/>
      <c r="V34" t="s">
        <v>26</v>
      </c>
      <c r="X34" s="39"/>
    </row>
    <row r="35" spans="1:24" x14ac:dyDescent="0.2">
      <c r="A35" s="13">
        <f t="shared" ref="A35:A66" si="16">IF(AND($K35,$S35&lt;$C$1,$S35&gt;=$A$1,$R35="Мужской"),A34+1,A34)</f>
        <v>5</v>
      </c>
      <c r="B35" s="13">
        <f t="shared" ref="B35:B66" si="17">IF(AND($K35,$S35&lt;$D$1,$S35&gt;=$B$1,$R35="Женский"),B34+1,B34)</f>
        <v>7</v>
      </c>
      <c r="C35" s="13">
        <f t="shared" ref="C35:C66" si="18">IF(AND($K35,$S35&lt;$E$1,$S35&gt;=$C$1,$R35="Мужской"),C34+1,C34)</f>
        <v>2</v>
      </c>
      <c r="D35" s="13">
        <f t="shared" ref="D35:D66" si="19">IF(AND($K35,$S35&lt;$F$1,$S35&gt;=$D$1,$R35="Женский"),D34+1,D34)</f>
        <v>6</v>
      </c>
      <c r="E35" s="13">
        <f t="shared" ref="E35:E66" si="20">IF(AND($K35,$S35&lt;$G$1,$S35&gt;=$E$1,$R35="Мужской"),E34+1,E34)</f>
        <v>3</v>
      </c>
      <c r="F35" s="13">
        <f t="shared" ref="F35:F66" si="21">IF(AND($K35,$S35&lt;$H$1,$S35&gt;=$F$1,$R35="Женский"),F34+1,F34)</f>
        <v>4</v>
      </c>
      <c r="G35" s="13">
        <f t="shared" ref="G35:G66" si="22">IF(AND($K35,$S35&lt;$I$1,$S35&gt;=$G$1,$R35="Мужской"),G34+1,G34)</f>
        <v>0</v>
      </c>
      <c r="H35" s="13">
        <f t="shared" ref="H35:H66" si="23">IF(AND($K35,$S35&lt;$J$1,$S35&gt;=$H$1,$R35="Женский"),H34+1,H34)</f>
        <v>0</v>
      </c>
      <c r="I35" s="13">
        <f t="shared" ref="I35:I66" si="24">IF(AND($K35,$S35&lt;$K$1,$S35&gt;=$I$1,$R35="Мужской"),I34+1,I34)</f>
        <v>1</v>
      </c>
      <c r="J35" s="13">
        <f t="shared" ref="J35:J66" si="25">IF(AND($K35,$S35&lt;$K73,$S35&gt;=$J$1,$R35="Женский"),J34+1,J34)</f>
        <v>0</v>
      </c>
      <c r="K35" s="13" t="b">
        <f t="shared" si="10"/>
        <v>0</v>
      </c>
      <c r="L35" s="59">
        <f t="shared" si="11"/>
        <v>33</v>
      </c>
      <c r="M35" s="10"/>
      <c r="N35" s="8" t="s">
        <v>597</v>
      </c>
      <c r="O35" s="9">
        <f>IF(ISBLANK($N35),"",VLOOKUP($N35,List!$B$1:$F$2000,2,0))</f>
        <v>38344</v>
      </c>
      <c r="P35" s="10" t="str">
        <f>IF(ISBLANK($N35),"",VLOOKUP($N35,List!$B$1:$F$2000,3,0))</f>
        <v>Ульяновск</v>
      </c>
      <c r="Q35" s="10" t="str">
        <f>IF(ISBLANK($N35),"",VLOOKUP($N35,List!$B$1:$F$2000,4,0))</f>
        <v>Jerzy</v>
      </c>
      <c r="R35" s="11" t="str">
        <f>IF(ISBLANK($N35),"",VLOOKUP($N35,List!$B$1:$F$2000,5,0))</f>
        <v>Женский</v>
      </c>
      <c r="S35" s="61">
        <f t="shared" si="12"/>
        <v>10</v>
      </c>
      <c r="T35" s="16">
        <f t="shared" si="13"/>
        <v>2004</v>
      </c>
      <c r="U35" s="7"/>
      <c r="V35" t="s">
        <v>26</v>
      </c>
      <c r="X35" s="39"/>
    </row>
    <row r="36" spans="1:24" x14ac:dyDescent="0.2">
      <c r="A36" s="13">
        <f t="shared" si="16"/>
        <v>5</v>
      </c>
      <c r="B36" s="13">
        <f t="shared" si="17"/>
        <v>7</v>
      </c>
      <c r="C36" s="13">
        <f t="shared" si="18"/>
        <v>2</v>
      </c>
      <c r="D36" s="13">
        <f t="shared" si="19"/>
        <v>6</v>
      </c>
      <c r="E36" s="13">
        <f t="shared" si="20"/>
        <v>3</v>
      </c>
      <c r="F36" s="13">
        <f t="shared" si="21"/>
        <v>4</v>
      </c>
      <c r="G36" s="13">
        <f t="shared" si="22"/>
        <v>0</v>
      </c>
      <c r="H36" s="13">
        <f t="shared" si="23"/>
        <v>0</v>
      </c>
      <c r="I36" s="13">
        <f t="shared" si="24"/>
        <v>1</v>
      </c>
      <c r="J36" s="13">
        <f t="shared" si="25"/>
        <v>0</v>
      </c>
      <c r="K36" s="13" t="b">
        <f t="shared" si="10"/>
        <v>0</v>
      </c>
      <c r="L36" s="59">
        <f t="shared" si="11"/>
        <v>34</v>
      </c>
      <c r="M36" s="10"/>
      <c r="N36" s="8" t="s">
        <v>462</v>
      </c>
      <c r="O36" s="9">
        <f>IF(ISBLANK($N36),"",VLOOKUP($N36,List!$B$1:$F$2000,2,0))</f>
        <v>38369</v>
      </c>
      <c r="P36" s="10" t="str">
        <f>IF(ISBLANK($N36),"",VLOOKUP($N36,List!$B$1:$F$2000,3,0))</f>
        <v>Ульяновск</v>
      </c>
      <c r="Q36" s="10" t="str">
        <f>IF(ISBLANK($N36),"",VLOOKUP($N36,List!$B$1:$F$2000,4,0))</f>
        <v xml:space="preserve"> </v>
      </c>
      <c r="R36" s="11" t="str">
        <f>IF(ISBLANK($N36),"",VLOOKUP($N36,List!$B$1:$F$2000,5,0))</f>
        <v>Мужской</v>
      </c>
      <c r="S36" s="61">
        <f t="shared" si="12"/>
        <v>9</v>
      </c>
      <c r="T36" s="16">
        <f t="shared" si="13"/>
        <v>2005</v>
      </c>
      <c r="U36" s="7"/>
      <c r="V36" t="s">
        <v>26</v>
      </c>
      <c r="X36" s="39"/>
    </row>
    <row r="37" spans="1:24" x14ac:dyDescent="0.2">
      <c r="A37" s="13">
        <f t="shared" si="16"/>
        <v>5</v>
      </c>
      <c r="B37" s="13">
        <f t="shared" si="17"/>
        <v>7</v>
      </c>
      <c r="C37" s="13">
        <f t="shared" si="18"/>
        <v>2</v>
      </c>
      <c r="D37" s="13">
        <f t="shared" si="19"/>
        <v>7</v>
      </c>
      <c r="E37" s="13">
        <f t="shared" si="20"/>
        <v>3</v>
      </c>
      <c r="F37" s="13">
        <f t="shared" si="21"/>
        <v>4</v>
      </c>
      <c r="G37" s="13">
        <f t="shared" si="22"/>
        <v>0</v>
      </c>
      <c r="H37" s="13">
        <f t="shared" si="23"/>
        <v>0</v>
      </c>
      <c r="I37" s="13">
        <f t="shared" si="24"/>
        <v>1</v>
      </c>
      <c r="J37" s="13">
        <f t="shared" si="25"/>
        <v>0</v>
      </c>
      <c r="K37" s="13" t="b">
        <f t="shared" si="10"/>
        <v>1</v>
      </c>
      <c r="L37" s="59">
        <f t="shared" si="11"/>
        <v>35</v>
      </c>
      <c r="M37" s="10">
        <v>8</v>
      </c>
      <c r="N37" s="8" t="s">
        <v>261</v>
      </c>
      <c r="O37" s="9">
        <f>IF(ISBLANK($N37),"",VLOOKUP($N37,List!$B$1:$F$2000,2,0))</f>
        <v>38069</v>
      </c>
      <c r="P37" s="10" t="str">
        <f>IF(ISBLANK($N37),"",VLOOKUP($N37,List!$B$1:$F$2000,3,0))</f>
        <v>Ульяновск</v>
      </c>
      <c r="Q37" s="10" t="str">
        <f>IF(ISBLANK($N37),"",VLOOKUP($N37,List!$B$1:$F$2000,4,0))</f>
        <v>Jerzy</v>
      </c>
      <c r="R37" s="11" t="str">
        <f>IF(ISBLANK($N37),"",VLOOKUP($N37,List!$B$1:$F$2000,5,0))</f>
        <v>Женский</v>
      </c>
      <c r="S37" s="61">
        <f t="shared" si="12"/>
        <v>10</v>
      </c>
      <c r="T37" s="16">
        <f t="shared" si="13"/>
        <v>2004</v>
      </c>
      <c r="U37" s="7"/>
      <c r="V37" t="s">
        <v>26</v>
      </c>
      <c r="X37" s="39"/>
    </row>
    <row r="38" spans="1:24" x14ac:dyDescent="0.2">
      <c r="A38" s="13">
        <f t="shared" si="16"/>
        <v>5</v>
      </c>
      <c r="B38" s="13">
        <f t="shared" si="17"/>
        <v>7</v>
      </c>
      <c r="C38" s="13">
        <f t="shared" si="18"/>
        <v>2</v>
      </c>
      <c r="D38" s="13">
        <f t="shared" si="19"/>
        <v>7</v>
      </c>
      <c r="E38" s="13">
        <f t="shared" si="20"/>
        <v>4</v>
      </c>
      <c r="F38" s="13">
        <f t="shared" si="21"/>
        <v>4</v>
      </c>
      <c r="G38" s="13">
        <f t="shared" si="22"/>
        <v>0</v>
      </c>
      <c r="H38" s="13">
        <f t="shared" si="23"/>
        <v>0</v>
      </c>
      <c r="I38" s="13">
        <f t="shared" si="24"/>
        <v>1</v>
      </c>
      <c r="J38" s="13">
        <f t="shared" si="25"/>
        <v>0</v>
      </c>
      <c r="K38" s="13" t="b">
        <f t="shared" si="10"/>
        <v>1</v>
      </c>
      <c r="L38" s="59">
        <f t="shared" si="11"/>
        <v>36</v>
      </c>
      <c r="M38" s="10">
        <v>52</v>
      </c>
      <c r="N38" s="66" t="s">
        <v>614</v>
      </c>
      <c r="O38" s="9">
        <f>IF(ISBLANK($N38),"",VLOOKUP($N38,List!$B$1:$F$2000,2,0))</f>
        <v>37617</v>
      </c>
      <c r="P38" s="10" t="str">
        <f>IF(ISBLANK($N38),"",VLOOKUP($N38,List!$B$1:$F$2000,3,0))</f>
        <v>Ульяновск</v>
      </c>
      <c r="Q38" s="10" t="str">
        <f>IF(ISBLANK($N38),"",VLOOKUP($N38,List!$B$1:$F$2000,4,0))</f>
        <v xml:space="preserve"> </v>
      </c>
      <c r="R38" s="11" t="str">
        <f>IF(ISBLANK($N38),"",VLOOKUP($N38,List!$B$1:$F$2000,5,0))</f>
        <v>Мужской</v>
      </c>
      <c r="S38" s="61">
        <f t="shared" si="12"/>
        <v>12</v>
      </c>
      <c r="T38" s="16">
        <f t="shared" si="13"/>
        <v>2002</v>
      </c>
      <c r="U38" s="7"/>
      <c r="V38" t="s">
        <v>26</v>
      </c>
      <c r="X38" s="39"/>
    </row>
    <row r="39" spans="1:24" x14ac:dyDescent="0.2">
      <c r="A39" s="13">
        <f t="shared" si="16"/>
        <v>6</v>
      </c>
      <c r="B39" s="13">
        <f t="shared" si="17"/>
        <v>7</v>
      </c>
      <c r="C39" s="13">
        <f t="shared" si="18"/>
        <v>2</v>
      </c>
      <c r="D39" s="13">
        <f t="shared" si="19"/>
        <v>7</v>
      </c>
      <c r="E39" s="13">
        <f t="shared" si="20"/>
        <v>4</v>
      </c>
      <c r="F39" s="13">
        <f t="shared" si="21"/>
        <v>4</v>
      </c>
      <c r="G39" s="13">
        <f t="shared" si="22"/>
        <v>0</v>
      </c>
      <c r="H39" s="13">
        <f t="shared" si="23"/>
        <v>0</v>
      </c>
      <c r="I39" s="13">
        <f t="shared" si="24"/>
        <v>1</v>
      </c>
      <c r="J39" s="13">
        <f t="shared" si="25"/>
        <v>0</v>
      </c>
      <c r="K39" s="13" t="b">
        <f t="shared" si="10"/>
        <v>1</v>
      </c>
      <c r="L39" s="59">
        <f t="shared" si="11"/>
        <v>37</v>
      </c>
      <c r="M39" s="10">
        <v>23</v>
      </c>
      <c r="N39" s="8" t="s">
        <v>586</v>
      </c>
      <c r="O39" s="9">
        <f>IF(ISBLANK($N39),"",VLOOKUP($N39,List!$B$1:$F$2000,2,0))</f>
        <v>40299</v>
      </c>
      <c r="P39" s="10" t="str">
        <f>IF(ISBLANK($N39),"",VLOOKUP($N39,List!$B$1:$F$2000,3,0))</f>
        <v>Ульяновск</v>
      </c>
      <c r="Q39" s="10" t="str">
        <f>IF(ISBLANK($N39),"",VLOOKUP($N39,List!$B$1:$F$2000,4,0))</f>
        <v xml:space="preserve"> </v>
      </c>
      <c r="R39" s="11" t="str">
        <f>IF(ISBLANK($N39),"",VLOOKUP($N39,List!$B$1:$F$2000,5,0))</f>
        <v>Мужской</v>
      </c>
      <c r="S39" s="61">
        <f t="shared" si="12"/>
        <v>4</v>
      </c>
      <c r="T39" s="16">
        <f t="shared" si="13"/>
        <v>2010</v>
      </c>
      <c r="U39" s="7"/>
      <c r="V39" t="s">
        <v>26</v>
      </c>
      <c r="X39" s="39"/>
    </row>
    <row r="40" spans="1:24" x14ac:dyDescent="0.2">
      <c r="A40" s="13">
        <f t="shared" si="16"/>
        <v>6</v>
      </c>
      <c r="B40" s="13">
        <f t="shared" si="17"/>
        <v>7</v>
      </c>
      <c r="C40" s="13">
        <f t="shared" si="18"/>
        <v>2</v>
      </c>
      <c r="D40" s="13">
        <f t="shared" si="19"/>
        <v>7</v>
      </c>
      <c r="E40" s="13">
        <f t="shared" si="20"/>
        <v>5</v>
      </c>
      <c r="F40" s="13">
        <f t="shared" si="21"/>
        <v>4</v>
      </c>
      <c r="G40" s="13">
        <f t="shared" si="22"/>
        <v>0</v>
      </c>
      <c r="H40" s="13">
        <f t="shared" si="23"/>
        <v>0</v>
      </c>
      <c r="I40" s="13">
        <f t="shared" si="24"/>
        <v>1</v>
      </c>
      <c r="J40" s="13">
        <f t="shared" si="25"/>
        <v>0</v>
      </c>
      <c r="K40" s="13" t="b">
        <f t="shared" si="10"/>
        <v>1</v>
      </c>
      <c r="L40" s="59">
        <f t="shared" si="11"/>
        <v>38</v>
      </c>
      <c r="M40" s="10">
        <v>22</v>
      </c>
      <c r="N40" s="8" t="s">
        <v>31</v>
      </c>
      <c r="O40" s="9">
        <f>IF(ISBLANK($N40),"",VLOOKUP($N40,List!$B$1:$F$2000,2,0))</f>
        <v>37851</v>
      </c>
      <c r="P40" s="10" t="str">
        <f>IF(ISBLANK($N40),"",VLOOKUP($N40,List!$B$1:$F$2000,3,0))</f>
        <v>Ульяновск</v>
      </c>
      <c r="Q40" s="10" t="str">
        <f>IF(ISBLANK($N40),"",VLOOKUP($N40,List!$B$1:$F$2000,4,0))</f>
        <v xml:space="preserve"> </v>
      </c>
      <c r="R40" s="11" t="str">
        <f>IF(ISBLANK($N40),"",VLOOKUP($N40,List!$B$1:$F$2000,5,0))</f>
        <v>Мужской</v>
      </c>
      <c r="S40" s="61">
        <f t="shared" si="12"/>
        <v>11</v>
      </c>
      <c r="T40" s="16">
        <f t="shared" si="13"/>
        <v>2003</v>
      </c>
      <c r="U40" s="7"/>
      <c r="V40" t="s">
        <v>26</v>
      </c>
      <c r="X40" s="39"/>
    </row>
    <row r="41" spans="1:24" x14ac:dyDescent="0.2">
      <c r="A41" s="13">
        <f t="shared" si="16"/>
        <v>6</v>
      </c>
      <c r="B41" s="13">
        <f t="shared" si="17"/>
        <v>8</v>
      </c>
      <c r="C41" s="13">
        <f t="shared" si="18"/>
        <v>2</v>
      </c>
      <c r="D41" s="13">
        <f t="shared" si="19"/>
        <v>7</v>
      </c>
      <c r="E41" s="13">
        <f t="shared" si="20"/>
        <v>5</v>
      </c>
      <c r="F41" s="13">
        <f t="shared" si="21"/>
        <v>4</v>
      </c>
      <c r="G41" s="13">
        <f t="shared" si="22"/>
        <v>0</v>
      </c>
      <c r="H41" s="13">
        <f t="shared" si="23"/>
        <v>0</v>
      </c>
      <c r="I41" s="13">
        <f t="shared" si="24"/>
        <v>1</v>
      </c>
      <c r="J41" s="13">
        <f t="shared" si="25"/>
        <v>0</v>
      </c>
      <c r="K41" s="13" t="b">
        <f t="shared" si="10"/>
        <v>1</v>
      </c>
      <c r="L41" s="59">
        <f t="shared" si="11"/>
        <v>39</v>
      </c>
      <c r="M41" s="10">
        <v>35</v>
      </c>
      <c r="N41" s="8" t="s">
        <v>577</v>
      </c>
      <c r="O41" s="9">
        <f>IF(ISBLANK($N41),"",VLOOKUP($N41,List!$B$1:$F$2000,2,0))</f>
        <v>39659</v>
      </c>
      <c r="P41" s="10" t="str">
        <f>IF(ISBLANK($N41),"",VLOOKUP($N41,List!$B$1:$F$2000,3,0))</f>
        <v>Ульяновск</v>
      </c>
      <c r="Q41" s="10" t="str">
        <f>IF(ISBLANK($N41),"",VLOOKUP($N41,List!$B$1:$F$2000,4,0))</f>
        <v xml:space="preserve"> </v>
      </c>
      <c r="R41" s="11" t="str">
        <f>IF(ISBLANK($N41),"",VLOOKUP($N41,List!$B$1:$F$2000,5,0))</f>
        <v>Женский</v>
      </c>
      <c r="S41" s="61">
        <f t="shared" si="12"/>
        <v>6</v>
      </c>
      <c r="T41" s="16">
        <f t="shared" si="13"/>
        <v>2008</v>
      </c>
      <c r="U41" s="7"/>
      <c r="V41" t="s">
        <v>26</v>
      </c>
      <c r="X41" s="39"/>
    </row>
    <row r="42" spans="1:24" x14ac:dyDescent="0.2">
      <c r="A42" s="13">
        <f t="shared" si="16"/>
        <v>6</v>
      </c>
      <c r="B42" s="13">
        <f t="shared" si="17"/>
        <v>8</v>
      </c>
      <c r="C42" s="13">
        <f t="shared" si="18"/>
        <v>2</v>
      </c>
      <c r="D42" s="13">
        <f t="shared" si="19"/>
        <v>7</v>
      </c>
      <c r="E42" s="13">
        <f t="shared" si="20"/>
        <v>5</v>
      </c>
      <c r="F42" s="13">
        <f t="shared" si="21"/>
        <v>5</v>
      </c>
      <c r="G42" s="13">
        <f t="shared" si="22"/>
        <v>0</v>
      </c>
      <c r="H42" s="13">
        <f t="shared" si="23"/>
        <v>0</v>
      </c>
      <c r="I42" s="13">
        <f t="shared" si="24"/>
        <v>1</v>
      </c>
      <c r="J42" s="13">
        <f t="shared" si="25"/>
        <v>0</v>
      </c>
      <c r="K42" s="13" t="b">
        <f t="shared" si="10"/>
        <v>1</v>
      </c>
      <c r="L42" s="59">
        <f t="shared" si="11"/>
        <v>40</v>
      </c>
      <c r="M42" s="10">
        <v>10</v>
      </c>
      <c r="N42" s="8" t="s">
        <v>464</v>
      </c>
      <c r="O42" s="9">
        <f>IF(ISBLANK($N42),"",VLOOKUP($N42,List!$B$1:$F$2000,2,0))</f>
        <v>37505</v>
      </c>
      <c r="P42" s="10" t="str">
        <f>IF(ISBLANK($N42),"",VLOOKUP($N42,List!$B$1:$F$2000,3,0))</f>
        <v>Ульяновск</v>
      </c>
      <c r="Q42" s="10" t="str">
        <f>IF(ISBLANK($N42),"",VLOOKUP($N42,List!$B$1:$F$2000,4,0))</f>
        <v>UNITY</v>
      </c>
      <c r="R42" s="11" t="str">
        <f>IF(ISBLANK($N42),"",VLOOKUP($N42,List!$B$1:$F$2000,5,0))</f>
        <v>Женский</v>
      </c>
      <c r="S42" s="61">
        <f t="shared" si="12"/>
        <v>12</v>
      </c>
      <c r="T42" s="16">
        <f t="shared" si="13"/>
        <v>2002</v>
      </c>
      <c r="U42" s="7"/>
      <c r="V42" t="s">
        <v>26</v>
      </c>
      <c r="X42" s="39"/>
    </row>
    <row r="43" spans="1:24" x14ac:dyDescent="0.2">
      <c r="A43" s="13">
        <f t="shared" si="16"/>
        <v>6</v>
      </c>
      <c r="B43" s="13">
        <f t="shared" si="17"/>
        <v>8</v>
      </c>
      <c r="C43" s="13">
        <f t="shared" si="18"/>
        <v>2</v>
      </c>
      <c r="D43" s="13">
        <f t="shared" si="19"/>
        <v>8</v>
      </c>
      <c r="E43" s="13">
        <f t="shared" si="20"/>
        <v>5</v>
      </c>
      <c r="F43" s="13">
        <f t="shared" si="21"/>
        <v>5</v>
      </c>
      <c r="G43" s="13">
        <f t="shared" si="22"/>
        <v>0</v>
      </c>
      <c r="H43" s="13">
        <f t="shared" si="23"/>
        <v>0</v>
      </c>
      <c r="I43" s="13">
        <f t="shared" si="24"/>
        <v>1</v>
      </c>
      <c r="J43" s="13">
        <f t="shared" si="25"/>
        <v>0</v>
      </c>
      <c r="K43" s="13" t="b">
        <f t="shared" si="10"/>
        <v>1</v>
      </c>
      <c r="L43" s="59">
        <f t="shared" si="11"/>
        <v>41</v>
      </c>
      <c r="M43" s="10">
        <v>11</v>
      </c>
      <c r="N43" s="8" t="s">
        <v>602</v>
      </c>
      <c r="O43" s="9">
        <f>IF(ISBLANK($N43),"",VLOOKUP($N43,List!$B$1:$F$2000,2,0))</f>
        <v>38882</v>
      </c>
      <c r="P43" s="10" t="str">
        <f>IF(ISBLANK($N43),"",VLOOKUP($N43,List!$B$1:$F$2000,3,0))</f>
        <v>Ульяновск</v>
      </c>
      <c r="Q43" s="10" t="str">
        <f>IF(ISBLANK($N43),"",VLOOKUP($N43,List!$B$1:$F$2000,4,0))</f>
        <v>Jerzy</v>
      </c>
      <c r="R43" s="11" t="str">
        <f>IF(ISBLANK($N43),"",VLOOKUP($N43,List!$B$1:$F$2000,5,0))</f>
        <v>Женский</v>
      </c>
      <c r="S43" s="61">
        <f t="shared" si="12"/>
        <v>8</v>
      </c>
      <c r="T43" s="16">
        <f t="shared" si="13"/>
        <v>2006</v>
      </c>
      <c r="U43" s="7"/>
      <c r="V43" t="s">
        <v>26</v>
      </c>
      <c r="X43" s="39"/>
    </row>
    <row r="44" spans="1:24" x14ac:dyDescent="0.2">
      <c r="A44" s="13">
        <f t="shared" si="16"/>
        <v>6</v>
      </c>
      <c r="B44" s="13">
        <f t="shared" si="17"/>
        <v>8</v>
      </c>
      <c r="C44" s="13">
        <f t="shared" si="18"/>
        <v>2</v>
      </c>
      <c r="D44" s="13">
        <f t="shared" si="19"/>
        <v>9</v>
      </c>
      <c r="E44" s="13">
        <f t="shared" si="20"/>
        <v>5</v>
      </c>
      <c r="F44" s="13">
        <f t="shared" si="21"/>
        <v>5</v>
      </c>
      <c r="G44" s="13">
        <f t="shared" si="22"/>
        <v>0</v>
      </c>
      <c r="H44" s="13">
        <f t="shared" si="23"/>
        <v>0</v>
      </c>
      <c r="I44" s="13">
        <f t="shared" si="24"/>
        <v>1</v>
      </c>
      <c r="J44" s="13">
        <f t="shared" si="25"/>
        <v>0</v>
      </c>
      <c r="K44" s="13" t="b">
        <f t="shared" si="10"/>
        <v>1</v>
      </c>
      <c r="L44" s="59">
        <f t="shared" si="11"/>
        <v>42</v>
      </c>
      <c r="M44" s="10">
        <v>26</v>
      </c>
      <c r="N44" s="8" t="s">
        <v>576</v>
      </c>
      <c r="O44" s="9">
        <f>IF(ISBLANK($N44),"",VLOOKUP($N44,List!$B$1:$F$2000,2,0))</f>
        <v>38026</v>
      </c>
      <c r="P44" s="10" t="str">
        <f>IF(ISBLANK($N44),"",VLOOKUP($N44,List!$B$1:$F$2000,3,0))</f>
        <v>Самара</v>
      </c>
      <c r="Q44" s="10" t="str">
        <f>IF(ISBLANK($N44),"",VLOOKUP($N44,List!$B$1:$F$2000,4,0))</f>
        <v xml:space="preserve"> </v>
      </c>
      <c r="R44" s="11" t="str">
        <f>IF(ISBLANK($N44),"",VLOOKUP($N44,List!$B$1:$F$2000,5,0))</f>
        <v>Женский</v>
      </c>
      <c r="S44" s="61">
        <f t="shared" si="12"/>
        <v>10</v>
      </c>
      <c r="T44" s="16">
        <f t="shared" si="13"/>
        <v>2004</v>
      </c>
      <c r="U44" s="7"/>
      <c r="V44" t="s">
        <v>26</v>
      </c>
      <c r="X44" s="39"/>
    </row>
    <row r="45" spans="1:24" x14ac:dyDescent="0.2">
      <c r="A45" s="13">
        <f t="shared" si="16"/>
        <v>6</v>
      </c>
      <c r="B45" s="13">
        <f t="shared" si="17"/>
        <v>8</v>
      </c>
      <c r="C45" s="13">
        <f t="shared" si="18"/>
        <v>2</v>
      </c>
      <c r="D45" s="13">
        <f t="shared" si="19"/>
        <v>10</v>
      </c>
      <c r="E45" s="13">
        <f t="shared" si="20"/>
        <v>5</v>
      </c>
      <c r="F45" s="13">
        <f t="shared" si="21"/>
        <v>5</v>
      </c>
      <c r="G45" s="13">
        <f t="shared" si="22"/>
        <v>0</v>
      </c>
      <c r="H45" s="13">
        <f t="shared" si="23"/>
        <v>0</v>
      </c>
      <c r="I45" s="13">
        <f t="shared" si="24"/>
        <v>1</v>
      </c>
      <c r="J45" s="13">
        <f t="shared" si="25"/>
        <v>0</v>
      </c>
      <c r="K45" s="13" t="b">
        <f t="shared" si="10"/>
        <v>1</v>
      </c>
      <c r="L45" s="59">
        <f t="shared" si="11"/>
        <v>43</v>
      </c>
      <c r="M45" s="10">
        <v>51</v>
      </c>
      <c r="N45" s="8" t="s">
        <v>613</v>
      </c>
      <c r="O45" s="9">
        <f>IF(ISBLANK($N45),"",VLOOKUP($N45,List!$B$1:$F$2000,2,0))</f>
        <v>38598</v>
      </c>
      <c r="P45" s="10" t="str">
        <f>IF(ISBLANK($N45),"",VLOOKUP($N45,List!$B$1:$F$2000,3,0))</f>
        <v>Ульяновск</v>
      </c>
      <c r="Q45" s="10" t="str">
        <f>IF(ISBLANK($N45),"",VLOOKUP($N45,List!$B$1:$F$2000,4,0))</f>
        <v xml:space="preserve"> </v>
      </c>
      <c r="R45" s="11" t="str">
        <f>IF(ISBLANK($N45),"",VLOOKUP($N45,List!$B$1:$F$2000,5,0))</f>
        <v>Женский</v>
      </c>
      <c r="S45" s="61">
        <f t="shared" si="12"/>
        <v>9</v>
      </c>
      <c r="T45" s="16">
        <f t="shared" si="13"/>
        <v>2005</v>
      </c>
      <c r="U45" s="7"/>
      <c r="V45" t="s">
        <v>26</v>
      </c>
      <c r="X45" s="39"/>
    </row>
    <row r="46" spans="1:24" x14ac:dyDescent="0.2">
      <c r="A46" s="13">
        <f t="shared" si="16"/>
        <v>6</v>
      </c>
      <c r="B46" s="13">
        <f t="shared" si="17"/>
        <v>8</v>
      </c>
      <c r="C46" s="13">
        <f t="shared" si="18"/>
        <v>2</v>
      </c>
      <c r="D46" s="13">
        <f t="shared" si="19"/>
        <v>10</v>
      </c>
      <c r="E46" s="13">
        <f t="shared" si="20"/>
        <v>5</v>
      </c>
      <c r="F46" s="13">
        <f t="shared" si="21"/>
        <v>5</v>
      </c>
      <c r="G46" s="13">
        <f t="shared" si="22"/>
        <v>0</v>
      </c>
      <c r="H46" s="13">
        <f t="shared" si="23"/>
        <v>0</v>
      </c>
      <c r="I46" s="13">
        <f t="shared" si="24"/>
        <v>1</v>
      </c>
      <c r="J46" s="13">
        <f t="shared" si="25"/>
        <v>0</v>
      </c>
      <c r="K46" s="13" t="b">
        <f t="shared" si="10"/>
        <v>0</v>
      </c>
      <c r="L46" s="59">
        <f t="shared" si="11"/>
        <v>44</v>
      </c>
      <c r="M46" s="10"/>
      <c r="N46" s="8" t="s">
        <v>587</v>
      </c>
      <c r="O46" s="9">
        <f>IF(ISBLANK($N46),"",VLOOKUP($N46,List!$B$1:$F$2000,2,0))</f>
        <v>38578</v>
      </c>
      <c r="P46" s="10" t="str">
        <f>IF(ISBLANK($N46),"",VLOOKUP($N46,List!$B$1:$F$2000,3,0))</f>
        <v>Ульяновск</v>
      </c>
      <c r="Q46" s="10" t="str">
        <f>IF(ISBLANK($N46),"",VLOOKUP($N46,List!$B$1:$F$2000,4,0))</f>
        <v xml:space="preserve"> </v>
      </c>
      <c r="R46" s="11" t="str">
        <f>IF(ISBLANK($N46),"",VLOOKUP($N46,List!$B$1:$F$2000,5,0))</f>
        <v>Женский</v>
      </c>
      <c r="S46" s="61">
        <f t="shared" si="12"/>
        <v>9</v>
      </c>
      <c r="T46" s="16">
        <f t="shared" si="13"/>
        <v>2005</v>
      </c>
      <c r="U46" s="7"/>
      <c r="V46" t="s">
        <v>26</v>
      </c>
      <c r="X46" s="39"/>
    </row>
    <row r="47" spans="1:24" x14ac:dyDescent="0.2">
      <c r="A47" s="13">
        <f t="shared" si="16"/>
        <v>7</v>
      </c>
      <c r="B47" s="13">
        <f t="shared" si="17"/>
        <v>8</v>
      </c>
      <c r="C47" s="13">
        <f t="shared" si="18"/>
        <v>2</v>
      </c>
      <c r="D47" s="13">
        <f t="shared" si="19"/>
        <v>10</v>
      </c>
      <c r="E47" s="13">
        <f t="shared" si="20"/>
        <v>5</v>
      </c>
      <c r="F47" s="13">
        <f t="shared" si="21"/>
        <v>5</v>
      </c>
      <c r="G47" s="13">
        <f t="shared" si="22"/>
        <v>0</v>
      </c>
      <c r="H47" s="13">
        <f t="shared" si="23"/>
        <v>0</v>
      </c>
      <c r="I47" s="13">
        <f t="shared" si="24"/>
        <v>1</v>
      </c>
      <c r="J47" s="13">
        <f t="shared" si="25"/>
        <v>0</v>
      </c>
      <c r="K47" s="13" t="b">
        <f t="shared" si="10"/>
        <v>1</v>
      </c>
      <c r="L47" s="59">
        <f t="shared" si="11"/>
        <v>45</v>
      </c>
      <c r="M47" s="10">
        <v>49</v>
      </c>
      <c r="N47" s="8" t="s">
        <v>589</v>
      </c>
      <c r="O47" s="9">
        <f>IF(ISBLANK($N47),"",VLOOKUP($N47,List!$B$1:$F$2000,2,0))</f>
        <v>40112</v>
      </c>
      <c r="P47" s="10" t="str">
        <f>IF(ISBLANK($N47),"",VLOOKUP($N47,List!$B$1:$F$2000,3,0))</f>
        <v>Ульяновск</v>
      </c>
      <c r="Q47" s="10" t="str">
        <f>IF(ISBLANK($N47),"",VLOOKUP($N47,List!$B$1:$F$2000,4,0))</f>
        <v xml:space="preserve"> </v>
      </c>
      <c r="R47" s="11" t="str">
        <f>IF(ISBLANK($N47),"",VLOOKUP($N47,List!$B$1:$F$2000,5,0))</f>
        <v>Мужской</v>
      </c>
      <c r="S47" s="61">
        <f t="shared" si="12"/>
        <v>5</v>
      </c>
      <c r="T47" s="16">
        <f t="shared" si="13"/>
        <v>2009</v>
      </c>
      <c r="U47" s="7"/>
      <c r="V47" t="s">
        <v>26</v>
      </c>
      <c r="X47" s="39"/>
    </row>
    <row r="48" spans="1:24" x14ac:dyDescent="0.2">
      <c r="A48" s="13">
        <f t="shared" si="16"/>
        <v>7</v>
      </c>
      <c r="B48" s="13">
        <f t="shared" si="17"/>
        <v>8</v>
      </c>
      <c r="C48" s="13">
        <f t="shared" si="18"/>
        <v>2</v>
      </c>
      <c r="D48" s="13">
        <f t="shared" si="19"/>
        <v>10</v>
      </c>
      <c r="E48" s="13">
        <f t="shared" si="20"/>
        <v>5</v>
      </c>
      <c r="F48" s="13">
        <f t="shared" si="21"/>
        <v>5</v>
      </c>
      <c r="G48" s="13">
        <f t="shared" si="22"/>
        <v>0</v>
      </c>
      <c r="H48" s="13">
        <f t="shared" si="23"/>
        <v>0</v>
      </c>
      <c r="I48" s="13">
        <f t="shared" si="24"/>
        <v>1</v>
      </c>
      <c r="J48" s="13">
        <f t="shared" si="25"/>
        <v>0</v>
      </c>
      <c r="K48" s="13" t="b">
        <f t="shared" si="10"/>
        <v>0</v>
      </c>
      <c r="L48" s="59">
        <f t="shared" si="11"/>
        <v>46</v>
      </c>
      <c r="M48" s="10"/>
      <c r="N48" s="8" t="s">
        <v>263</v>
      </c>
      <c r="O48" s="9">
        <f>IF(ISBLANK($N48),"",VLOOKUP($N48,List!$B$1:$F$2000,2,0))</f>
        <v>37987</v>
      </c>
      <c r="P48" s="10" t="str">
        <f>IF(ISBLANK($N48),"",VLOOKUP($N48,List!$B$1:$F$2000,3,0))</f>
        <v>Ульяновск</v>
      </c>
      <c r="Q48" s="10" t="str">
        <f>IF(ISBLANK($N48),"",VLOOKUP($N48,List!$B$1:$F$2000,4,0))</f>
        <v>UNITY</v>
      </c>
      <c r="R48" s="11" t="str">
        <f>IF(ISBLANK($N48),"",VLOOKUP($N48,List!$B$1:$F$2000,5,0))</f>
        <v>Мужской</v>
      </c>
      <c r="S48" s="61">
        <f t="shared" si="12"/>
        <v>10</v>
      </c>
      <c r="T48" s="16">
        <f t="shared" si="13"/>
        <v>2004</v>
      </c>
      <c r="U48" s="7"/>
      <c r="V48" t="s">
        <v>26</v>
      </c>
      <c r="X48" s="39"/>
    </row>
    <row r="49" spans="1:24" x14ac:dyDescent="0.2">
      <c r="A49" s="13">
        <f t="shared" si="16"/>
        <v>7</v>
      </c>
      <c r="B49" s="13">
        <f t="shared" si="17"/>
        <v>8</v>
      </c>
      <c r="C49" s="13">
        <f t="shared" si="18"/>
        <v>2</v>
      </c>
      <c r="D49" s="13">
        <f t="shared" si="19"/>
        <v>10</v>
      </c>
      <c r="E49" s="13">
        <f t="shared" si="20"/>
        <v>5</v>
      </c>
      <c r="F49" s="13">
        <f t="shared" si="21"/>
        <v>5</v>
      </c>
      <c r="G49" s="13">
        <f t="shared" si="22"/>
        <v>0</v>
      </c>
      <c r="H49" s="13">
        <f t="shared" si="23"/>
        <v>0</v>
      </c>
      <c r="I49" s="13">
        <f t="shared" si="24"/>
        <v>1</v>
      </c>
      <c r="J49" s="13">
        <f t="shared" si="25"/>
        <v>0</v>
      </c>
      <c r="K49" s="13" t="b">
        <f t="shared" si="10"/>
        <v>0</v>
      </c>
      <c r="L49" s="59">
        <f t="shared" si="11"/>
        <v>47</v>
      </c>
      <c r="M49" s="10"/>
      <c r="N49" s="8" t="s">
        <v>608</v>
      </c>
      <c r="O49" s="51">
        <f>IF(ISBLANK($N49),"",VLOOKUP($N49,List!$B$1:$F$2000,2,0))</f>
        <v>39427</v>
      </c>
      <c r="P49" s="10" t="str">
        <f>IF(ISBLANK($N49),"",VLOOKUP($N49,List!$B$1:$F$2000,3,0))</f>
        <v xml:space="preserve">Ульяновск </v>
      </c>
      <c r="Q49" s="10" t="str">
        <f>IF(ISBLANK($N49),"",VLOOKUP($N49,List!$B$1:$F$2000,4,0))</f>
        <v xml:space="preserve"> </v>
      </c>
      <c r="R49" s="11" t="str">
        <f>IF(ISBLANK($N49),"",VLOOKUP($N49,List!$B$1:$F$2000,5,0))</f>
        <v>Мужской</v>
      </c>
      <c r="S49" s="61">
        <f t="shared" si="12"/>
        <v>7</v>
      </c>
      <c r="T49" s="16">
        <f t="shared" si="13"/>
        <v>2007</v>
      </c>
      <c r="U49" s="7"/>
      <c r="V49" t="s">
        <v>26</v>
      </c>
      <c r="X49" s="39"/>
    </row>
    <row r="50" spans="1:24" x14ac:dyDescent="0.2">
      <c r="A50" s="13">
        <f t="shared" si="16"/>
        <v>8</v>
      </c>
      <c r="B50" s="13">
        <f t="shared" si="17"/>
        <v>8</v>
      </c>
      <c r="C50" s="13">
        <f t="shared" si="18"/>
        <v>2</v>
      </c>
      <c r="D50" s="13">
        <f t="shared" si="19"/>
        <v>10</v>
      </c>
      <c r="E50" s="13">
        <f t="shared" si="20"/>
        <v>5</v>
      </c>
      <c r="F50" s="13">
        <f t="shared" si="21"/>
        <v>5</v>
      </c>
      <c r="G50" s="13">
        <f t="shared" si="22"/>
        <v>0</v>
      </c>
      <c r="H50" s="13">
        <f t="shared" si="23"/>
        <v>0</v>
      </c>
      <c r="I50" s="13">
        <f t="shared" si="24"/>
        <v>1</v>
      </c>
      <c r="J50" s="13">
        <f t="shared" si="25"/>
        <v>0</v>
      </c>
      <c r="K50" s="13" t="b">
        <f t="shared" si="10"/>
        <v>1</v>
      </c>
      <c r="L50" s="59">
        <f t="shared" si="11"/>
        <v>48</v>
      </c>
      <c r="M50" s="10">
        <v>16</v>
      </c>
      <c r="N50" s="8" t="s">
        <v>482</v>
      </c>
      <c r="O50" s="9">
        <f>IF(ISBLANK($N50),"",VLOOKUP($N50,List!$B$1:$F$2000,2,0))</f>
        <v>39084</v>
      </c>
      <c r="P50" s="10" t="str">
        <f>IF(ISBLANK($N50),"",VLOOKUP($N50,List!$B$1:$F$2000,3,0))</f>
        <v>Ульяновск</v>
      </c>
      <c r="Q50" s="10" t="str">
        <f>IF(ISBLANK($N50),"",VLOOKUP($N50,List!$B$1:$F$2000,4,0))</f>
        <v>UNITY</v>
      </c>
      <c r="R50" s="11" t="str">
        <f>IF(ISBLANK($N50),"",VLOOKUP($N50,List!$B$1:$F$2000,5,0))</f>
        <v>Мужской</v>
      </c>
      <c r="S50" s="61">
        <f t="shared" si="12"/>
        <v>7</v>
      </c>
      <c r="T50" s="16">
        <f t="shared" si="13"/>
        <v>2007</v>
      </c>
      <c r="U50" s="7"/>
      <c r="V50" t="s">
        <v>26</v>
      </c>
      <c r="X50" s="39"/>
    </row>
    <row r="51" spans="1:24" x14ac:dyDescent="0.2">
      <c r="A51" s="13">
        <f t="shared" si="16"/>
        <v>8</v>
      </c>
      <c r="B51" s="13">
        <f t="shared" si="17"/>
        <v>8</v>
      </c>
      <c r="C51" s="13">
        <f t="shared" si="18"/>
        <v>3</v>
      </c>
      <c r="D51" s="13">
        <f t="shared" si="19"/>
        <v>10</v>
      </c>
      <c r="E51" s="13">
        <f t="shared" si="20"/>
        <v>5</v>
      </c>
      <c r="F51" s="13">
        <f t="shared" si="21"/>
        <v>5</v>
      </c>
      <c r="G51" s="13">
        <f t="shared" si="22"/>
        <v>0</v>
      </c>
      <c r="H51" s="13">
        <f t="shared" si="23"/>
        <v>0</v>
      </c>
      <c r="I51" s="13">
        <f t="shared" si="24"/>
        <v>1</v>
      </c>
      <c r="J51" s="13">
        <f t="shared" si="25"/>
        <v>0</v>
      </c>
      <c r="K51" s="13" t="b">
        <f t="shared" si="10"/>
        <v>1</v>
      </c>
      <c r="L51" s="59">
        <f t="shared" si="11"/>
        <v>49</v>
      </c>
      <c r="M51" s="10">
        <v>5</v>
      </c>
      <c r="N51" s="8" t="s">
        <v>607</v>
      </c>
      <c r="O51" s="9">
        <f>IF(ISBLANK($N51),"",VLOOKUP($N51,List!$B$1:$F$2000,2,0))</f>
        <v>38548</v>
      </c>
      <c r="P51" s="10" t="str">
        <f>IF(ISBLANK($N51),"",VLOOKUP($N51,List!$B$1:$F$2000,3,0))</f>
        <v xml:space="preserve">Ульяновск </v>
      </c>
      <c r="Q51" s="10" t="str">
        <f>IF(ISBLANK($N51),"",VLOOKUP($N51,List!$B$1:$F$2000,4,0))</f>
        <v xml:space="preserve"> </v>
      </c>
      <c r="R51" s="11" t="str">
        <f>IF(ISBLANK($N51),"",VLOOKUP($N51,List!$B$1:$F$2000,5,0))</f>
        <v>Мужской</v>
      </c>
      <c r="S51" s="61">
        <f t="shared" si="12"/>
        <v>9</v>
      </c>
      <c r="T51" s="16">
        <f t="shared" si="13"/>
        <v>2005</v>
      </c>
      <c r="U51" s="7"/>
      <c r="V51" t="s">
        <v>26</v>
      </c>
      <c r="X51" s="39"/>
    </row>
    <row r="52" spans="1:24" x14ac:dyDescent="0.2">
      <c r="A52" s="13">
        <f t="shared" si="16"/>
        <v>8</v>
      </c>
      <c r="B52" s="13">
        <f t="shared" si="17"/>
        <v>9</v>
      </c>
      <c r="C52" s="13">
        <f t="shared" si="18"/>
        <v>3</v>
      </c>
      <c r="D52" s="13">
        <f t="shared" si="19"/>
        <v>10</v>
      </c>
      <c r="E52" s="13">
        <f t="shared" si="20"/>
        <v>5</v>
      </c>
      <c r="F52" s="13">
        <f t="shared" si="21"/>
        <v>5</v>
      </c>
      <c r="G52" s="13">
        <f t="shared" si="22"/>
        <v>0</v>
      </c>
      <c r="H52" s="13">
        <f t="shared" si="23"/>
        <v>0</v>
      </c>
      <c r="I52" s="13">
        <f t="shared" si="24"/>
        <v>1</v>
      </c>
      <c r="J52" s="13">
        <f t="shared" si="25"/>
        <v>0</v>
      </c>
      <c r="K52" s="13" t="b">
        <f t="shared" si="10"/>
        <v>1</v>
      </c>
      <c r="L52" s="59">
        <f t="shared" si="11"/>
        <v>50</v>
      </c>
      <c r="M52" s="10">
        <v>42</v>
      </c>
      <c r="N52" s="8" t="s">
        <v>574</v>
      </c>
      <c r="O52" s="9">
        <f>IF(ISBLANK($N52),"",VLOOKUP($N52,List!$B$1:$F$2000,2,0))</f>
        <v>40075</v>
      </c>
      <c r="P52" s="10" t="str">
        <f>IF(ISBLANK($N52),"",VLOOKUP($N52,List!$B$1:$F$2000,3,0))</f>
        <v>Ульяновск</v>
      </c>
      <c r="Q52" s="10" t="str">
        <f>IF(ISBLANK($N52),"",VLOOKUP($N52,List!$B$1:$F$2000,4,0))</f>
        <v>UNITY</v>
      </c>
      <c r="R52" s="11" t="str">
        <f>IF(ISBLANK($N52),"",VLOOKUP($N52,List!$B$1:$F$2000,5,0))</f>
        <v>Женский</v>
      </c>
      <c r="S52" s="61">
        <f t="shared" si="12"/>
        <v>5</v>
      </c>
      <c r="T52" s="16">
        <f t="shared" si="13"/>
        <v>2009</v>
      </c>
      <c r="U52" s="7"/>
      <c r="V52" t="s">
        <v>26</v>
      </c>
      <c r="X52" s="39"/>
    </row>
    <row r="53" spans="1:24" x14ac:dyDescent="0.2">
      <c r="A53" s="13">
        <f t="shared" si="16"/>
        <v>8</v>
      </c>
      <c r="B53" s="13">
        <f t="shared" si="17"/>
        <v>9</v>
      </c>
      <c r="C53" s="13">
        <f t="shared" si="18"/>
        <v>3</v>
      </c>
      <c r="D53" s="13">
        <f t="shared" si="19"/>
        <v>11</v>
      </c>
      <c r="E53" s="13">
        <f t="shared" si="20"/>
        <v>5</v>
      </c>
      <c r="F53" s="13">
        <f t="shared" si="21"/>
        <v>5</v>
      </c>
      <c r="G53" s="13">
        <f t="shared" si="22"/>
        <v>0</v>
      </c>
      <c r="H53" s="13">
        <f t="shared" si="23"/>
        <v>0</v>
      </c>
      <c r="I53" s="13">
        <f t="shared" si="24"/>
        <v>1</v>
      </c>
      <c r="J53" s="13">
        <f t="shared" si="25"/>
        <v>0</v>
      </c>
      <c r="K53" s="13" t="b">
        <f t="shared" si="10"/>
        <v>1</v>
      </c>
      <c r="L53" s="59">
        <f t="shared" si="11"/>
        <v>51</v>
      </c>
      <c r="M53" s="10">
        <v>32</v>
      </c>
      <c r="N53" s="8" t="s">
        <v>611</v>
      </c>
      <c r="O53" s="9">
        <f>IF(ISBLANK($N53),"",VLOOKUP($N53,List!$B$1:$F$2000,2,0))</f>
        <v>38725</v>
      </c>
      <c r="P53" s="10" t="str">
        <f>IF(ISBLANK($N53),"",VLOOKUP($N53,List!$B$1:$F$2000,3,0))</f>
        <v>Ульяновск</v>
      </c>
      <c r="Q53" s="10" t="str">
        <f>IF(ISBLANK($N53),"",VLOOKUP($N53,List!$B$1:$F$2000,4,0))</f>
        <v xml:space="preserve"> </v>
      </c>
      <c r="R53" s="11" t="str">
        <f>IF(ISBLANK($N53),"",VLOOKUP($N53,List!$B$1:$F$2000,5,0))</f>
        <v>Женский</v>
      </c>
      <c r="S53" s="61">
        <f t="shared" si="12"/>
        <v>8</v>
      </c>
      <c r="T53" s="16">
        <f t="shared" si="13"/>
        <v>2006</v>
      </c>
      <c r="U53" s="7"/>
      <c r="V53" t="s">
        <v>26</v>
      </c>
      <c r="X53" s="39"/>
    </row>
    <row r="54" spans="1:24" x14ac:dyDescent="0.2">
      <c r="A54" s="13">
        <f t="shared" si="16"/>
        <v>8</v>
      </c>
      <c r="B54" s="13">
        <f t="shared" si="17"/>
        <v>9</v>
      </c>
      <c r="C54" s="13">
        <f t="shared" si="18"/>
        <v>3</v>
      </c>
      <c r="D54" s="13">
        <f t="shared" si="19"/>
        <v>12</v>
      </c>
      <c r="E54" s="13">
        <f t="shared" si="20"/>
        <v>5</v>
      </c>
      <c r="F54" s="13">
        <f t="shared" si="21"/>
        <v>5</v>
      </c>
      <c r="G54" s="13">
        <f t="shared" si="22"/>
        <v>0</v>
      </c>
      <c r="H54" s="13">
        <f t="shared" si="23"/>
        <v>0</v>
      </c>
      <c r="I54" s="13">
        <f t="shared" si="24"/>
        <v>1</v>
      </c>
      <c r="J54" s="13">
        <f t="shared" si="25"/>
        <v>0</v>
      </c>
      <c r="K54" s="13" t="b">
        <f t="shared" si="10"/>
        <v>1</v>
      </c>
      <c r="L54" s="59">
        <f t="shared" si="11"/>
        <v>52</v>
      </c>
      <c r="M54" s="10">
        <v>39</v>
      </c>
      <c r="N54" s="8" t="s">
        <v>580</v>
      </c>
      <c r="O54" s="9">
        <f>IF(ISBLANK($N54),"",VLOOKUP($N54,List!$B$1:$F$2000,2,0))</f>
        <v>38352</v>
      </c>
      <c r="P54" s="10" t="str">
        <f>IF(ISBLANK($N54),"",VLOOKUP($N54,List!$B$1:$F$2000,3,0))</f>
        <v>Ульяновск</v>
      </c>
      <c r="Q54" s="10" t="str">
        <f>IF(ISBLANK($N54),"",VLOOKUP($N54,List!$B$1:$F$2000,4,0))</f>
        <v xml:space="preserve"> </v>
      </c>
      <c r="R54" s="11" t="str">
        <f>IF(ISBLANK($N54),"",VLOOKUP($N54,List!$B$1:$F$2000,5,0))</f>
        <v>Женский</v>
      </c>
      <c r="S54" s="61">
        <f t="shared" si="12"/>
        <v>10</v>
      </c>
      <c r="T54" s="16">
        <f t="shared" si="13"/>
        <v>2004</v>
      </c>
      <c r="U54" s="7"/>
      <c r="V54" t="s">
        <v>26</v>
      </c>
      <c r="X54" s="39"/>
    </row>
    <row r="55" spans="1:24" x14ac:dyDescent="0.2">
      <c r="A55" s="13">
        <f t="shared" si="16"/>
        <v>8</v>
      </c>
      <c r="B55" s="13">
        <f t="shared" si="17"/>
        <v>9</v>
      </c>
      <c r="C55" s="13">
        <f t="shared" si="18"/>
        <v>3</v>
      </c>
      <c r="D55" s="13">
        <f t="shared" si="19"/>
        <v>13</v>
      </c>
      <c r="E55" s="13">
        <f t="shared" si="20"/>
        <v>5</v>
      </c>
      <c r="F55" s="13">
        <f t="shared" si="21"/>
        <v>5</v>
      </c>
      <c r="G55" s="13">
        <f t="shared" si="22"/>
        <v>0</v>
      </c>
      <c r="H55" s="13">
        <f t="shared" si="23"/>
        <v>0</v>
      </c>
      <c r="I55" s="13">
        <f t="shared" si="24"/>
        <v>1</v>
      </c>
      <c r="J55" s="13">
        <f t="shared" si="25"/>
        <v>0</v>
      </c>
      <c r="K55" s="13" t="b">
        <f t="shared" si="10"/>
        <v>1</v>
      </c>
      <c r="L55" s="59">
        <f t="shared" si="11"/>
        <v>53</v>
      </c>
      <c r="M55" s="10">
        <v>40</v>
      </c>
      <c r="N55" s="8" t="s">
        <v>579</v>
      </c>
      <c r="O55" s="9">
        <f>IF(ISBLANK($N55),"",VLOOKUP($N55,List!$B$1:$F$2000,2,0))</f>
        <v>38352</v>
      </c>
      <c r="P55" s="10" t="str">
        <f>IF(ISBLANK($N55),"",VLOOKUP($N55,List!$B$1:$F$2000,3,0))</f>
        <v>Ульяновск</v>
      </c>
      <c r="Q55" s="10" t="str">
        <f>IF(ISBLANK($N55),"",VLOOKUP($N55,List!$B$1:$F$2000,4,0))</f>
        <v xml:space="preserve"> </v>
      </c>
      <c r="R55" s="11" t="str">
        <f>IF(ISBLANK($N55),"",VLOOKUP($N55,List!$B$1:$F$2000,5,0))</f>
        <v>Женский</v>
      </c>
      <c r="S55" s="61">
        <f t="shared" si="12"/>
        <v>10</v>
      </c>
      <c r="T55" s="16">
        <f t="shared" si="13"/>
        <v>2004</v>
      </c>
      <c r="U55" s="7"/>
      <c r="V55" t="s">
        <v>26</v>
      </c>
      <c r="X55" s="39"/>
    </row>
    <row r="56" spans="1:24" x14ac:dyDescent="0.2">
      <c r="A56" s="13">
        <f t="shared" si="16"/>
        <v>8</v>
      </c>
      <c r="B56" s="13">
        <f t="shared" si="17"/>
        <v>9</v>
      </c>
      <c r="C56" s="13">
        <f t="shared" si="18"/>
        <v>4</v>
      </c>
      <c r="D56" s="13">
        <f t="shared" si="19"/>
        <v>13</v>
      </c>
      <c r="E56" s="13">
        <f t="shared" si="20"/>
        <v>5</v>
      </c>
      <c r="F56" s="13">
        <f t="shared" si="21"/>
        <v>5</v>
      </c>
      <c r="G56" s="13">
        <f t="shared" si="22"/>
        <v>0</v>
      </c>
      <c r="H56" s="13">
        <f t="shared" si="23"/>
        <v>0</v>
      </c>
      <c r="I56" s="13">
        <f t="shared" si="24"/>
        <v>1</v>
      </c>
      <c r="J56" s="13">
        <f t="shared" si="25"/>
        <v>0</v>
      </c>
      <c r="K56" s="13" t="b">
        <f t="shared" si="10"/>
        <v>1</v>
      </c>
      <c r="L56" s="59">
        <f t="shared" si="11"/>
        <v>54</v>
      </c>
      <c r="M56" s="10">
        <v>38</v>
      </c>
      <c r="N56" s="8" t="s">
        <v>612</v>
      </c>
      <c r="O56" s="9">
        <f>IF(ISBLANK($N56),"",VLOOKUP($N56,List!$B$1:$F$2000,2,0))</f>
        <v>38917</v>
      </c>
      <c r="P56" s="10" t="str">
        <f>IF(ISBLANK($N56),"",VLOOKUP($N56,List!$B$1:$F$2000,3,0))</f>
        <v>Ульяновск</v>
      </c>
      <c r="Q56" s="10" t="str">
        <f>IF(ISBLANK($N56),"",VLOOKUP($N56,List!$B$1:$F$2000,4,0))</f>
        <v xml:space="preserve"> </v>
      </c>
      <c r="R56" s="11" t="str">
        <f>IF(ISBLANK($N56),"",VLOOKUP($N56,List!$B$1:$F$2000,5,0))</f>
        <v>Мужской</v>
      </c>
      <c r="S56" s="61">
        <f t="shared" si="12"/>
        <v>8</v>
      </c>
      <c r="T56" s="16">
        <f t="shared" si="13"/>
        <v>2006</v>
      </c>
      <c r="U56" s="7"/>
      <c r="V56" t="s">
        <v>26</v>
      </c>
      <c r="X56" s="39"/>
    </row>
    <row r="57" spans="1:24" x14ac:dyDescent="0.2">
      <c r="A57" s="13">
        <f t="shared" si="16"/>
        <v>8</v>
      </c>
      <c r="B57" s="13">
        <f t="shared" si="17"/>
        <v>9</v>
      </c>
      <c r="C57" s="13">
        <f t="shared" si="18"/>
        <v>4</v>
      </c>
      <c r="D57" s="13">
        <f t="shared" si="19"/>
        <v>13</v>
      </c>
      <c r="E57" s="13">
        <f t="shared" si="20"/>
        <v>6</v>
      </c>
      <c r="F57" s="13">
        <f t="shared" si="21"/>
        <v>5</v>
      </c>
      <c r="G57" s="13">
        <f t="shared" si="22"/>
        <v>0</v>
      </c>
      <c r="H57" s="13">
        <f t="shared" si="23"/>
        <v>0</v>
      </c>
      <c r="I57" s="13">
        <f t="shared" si="24"/>
        <v>1</v>
      </c>
      <c r="J57" s="13">
        <f t="shared" si="25"/>
        <v>0</v>
      </c>
      <c r="K57" s="13" t="b">
        <f t="shared" si="10"/>
        <v>1</v>
      </c>
      <c r="L57" s="59">
        <f t="shared" si="11"/>
        <v>55</v>
      </c>
      <c r="M57" s="10">
        <v>13</v>
      </c>
      <c r="N57" s="8" t="s">
        <v>38</v>
      </c>
      <c r="O57" s="9">
        <f>IF(ISBLANK($N57),"",VLOOKUP($N57,List!$B$1:$F$2000,2,0))</f>
        <v>37818</v>
      </c>
      <c r="P57" s="10" t="str">
        <f>IF(ISBLANK($N57),"",VLOOKUP($N57,List!$B$1:$F$2000,3,0))</f>
        <v>Ульяновск</v>
      </c>
      <c r="Q57" s="10" t="str">
        <f>IF(ISBLANK($N57),"",VLOOKUP($N57,List!$B$1:$F$2000,4,0))</f>
        <v>UNITY</v>
      </c>
      <c r="R57" s="11" t="str">
        <f>IF(ISBLANK($N57),"",VLOOKUP($N57,List!$B$1:$F$2000,5,0))</f>
        <v>Мужской</v>
      </c>
      <c r="S57" s="61">
        <f t="shared" si="12"/>
        <v>11</v>
      </c>
      <c r="T57" s="16">
        <f t="shared" si="13"/>
        <v>2003</v>
      </c>
      <c r="U57" s="7"/>
      <c r="V57" t="s">
        <v>26</v>
      </c>
      <c r="X57" s="39"/>
    </row>
    <row r="58" spans="1:24" x14ac:dyDescent="0.2">
      <c r="A58" s="13">
        <f t="shared" si="16"/>
        <v>8</v>
      </c>
      <c r="B58" s="13">
        <f t="shared" si="17"/>
        <v>9</v>
      </c>
      <c r="C58" s="13">
        <f t="shared" si="18"/>
        <v>5</v>
      </c>
      <c r="D58" s="13">
        <f t="shared" si="19"/>
        <v>13</v>
      </c>
      <c r="E58" s="13">
        <f t="shared" si="20"/>
        <v>6</v>
      </c>
      <c r="F58" s="13">
        <f t="shared" si="21"/>
        <v>5</v>
      </c>
      <c r="G58" s="13">
        <f t="shared" si="22"/>
        <v>0</v>
      </c>
      <c r="H58" s="13">
        <f t="shared" si="23"/>
        <v>0</v>
      </c>
      <c r="I58" s="13">
        <f t="shared" si="24"/>
        <v>1</v>
      </c>
      <c r="J58" s="13">
        <f t="shared" si="25"/>
        <v>0</v>
      </c>
      <c r="K58" s="13" t="b">
        <f t="shared" si="10"/>
        <v>1</v>
      </c>
      <c r="L58" s="59">
        <f t="shared" si="11"/>
        <v>56</v>
      </c>
      <c r="M58" s="10">
        <v>33</v>
      </c>
      <c r="N58" s="8" t="s">
        <v>266</v>
      </c>
      <c r="O58" s="9">
        <f>IF(ISBLANK($N58),"",VLOOKUP($N58,List!$B$1:$F$2000,2,0))</f>
        <v>38122</v>
      </c>
      <c r="P58" s="10" t="str">
        <f>IF(ISBLANK($N58),"",VLOOKUP($N58,List!$B$1:$F$2000,3,0))</f>
        <v>Ульяновск</v>
      </c>
      <c r="Q58" s="10" t="str">
        <f>IF(ISBLANK($N58),"",VLOOKUP($N58,List!$B$1:$F$2000,4,0))</f>
        <v xml:space="preserve"> </v>
      </c>
      <c r="R58" s="11" t="str">
        <f>IF(ISBLANK($N58),"",VLOOKUP($N58,List!$B$1:$F$2000,5,0))</f>
        <v>Мужской</v>
      </c>
      <c r="S58" s="61">
        <f t="shared" si="12"/>
        <v>10</v>
      </c>
      <c r="T58" s="16">
        <f t="shared" si="13"/>
        <v>2004</v>
      </c>
      <c r="U58" s="7"/>
      <c r="V58" t="s">
        <v>26</v>
      </c>
      <c r="X58" s="39"/>
    </row>
    <row r="59" spans="1:24" x14ac:dyDescent="0.2">
      <c r="A59" s="13">
        <f t="shared" si="16"/>
        <v>8</v>
      </c>
      <c r="B59" s="13">
        <f t="shared" si="17"/>
        <v>9</v>
      </c>
      <c r="C59" s="13">
        <f t="shared" si="18"/>
        <v>5</v>
      </c>
      <c r="D59" s="13">
        <f t="shared" si="19"/>
        <v>13</v>
      </c>
      <c r="E59" s="13">
        <f t="shared" si="20"/>
        <v>6</v>
      </c>
      <c r="F59" s="13">
        <f t="shared" si="21"/>
        <v>5</v>
      </c>
      <c r="G59" s="13">
        <f t="shared" si="22"/>
        <v>0</v>
      </c>
      <c r="H59" s="13">
        <f t="shared" si="23"/>
        <v>0</v>
      </c>
      <c r="I59" s="13">
        <f t="shared" si="24"/>
        <v>1</v>
      </c>
      <c r="J59" s="13">
        <f t="shared" si="25"/>
        <v>0</v>
      </c>
      <c r="K59" s="13" t="b">
        <f t="shared" si="10"/>
        <v>0</v>
      </c>
      <c r="L59" s="59">
        <f t="shared" si="11"/>
        <v>57</v>
      </c>
      <c r="M59" s="10"/>
      <c r="N59" s="8" t="s">
        <v>502</v>
      </c>
      <c r="O59" s="9">
        <f>IF(ISBLANK($N59),"",VLOOKUP($N59,List!$B$1:$F$2000,2,0))</f>
        <v>39268</v>
      </c>
      <c r="P59" s="10" t="str">
        <f>IF(ISBLANK($N59),"",VLOOKUP($N59,List!$B$1:$F$2000,3,0))</f>
        <v>Владимир</v>
      </c>
      <c r="Q59" s="10" t="str">
        <f>IF(ISBLANK($N59),"",VLOOKUP($N59,List!$B$1:$F$2000,4,0))</f>
        <v>Orange School</v>
      </c>
      <c r="R59" s="11" t="str">
        <f>IF(ISBLANK($N59),"",VLOOKUP($N59,List!$B$1:$F$2000,5,0))</f>
        <v>Женский</v>
      </c>
      <c r="S59" s="61">
        <f t="shared" si="12"/>
        <v>7</v>
      </c>
      <c r="T59" s="16">
        <f t="shared" si="13"/>
        <v>2007</v>
      </c>
      <c r="U59" s="7"/>
      <c r="V59" t="s">
        <v>26</v>
      </c>
      <c r="X59" s="39"/>
    </row>
    <row r="60" spans="1:24" x14ac:dyDescent="0.2">
      <c r="A60" s="13">
        <f t="shared" si="16"/>
        <v>8</v>
      </c>
      <c r="B60" s="13">
        <f t="shared" si="17"/>
        <v>9</v>
      </c>
      <c r="C60" s="13">
        <f t="shared" si="18"/>
        <v>5</v>
      </c>
      <c r="D60" s="13">
        <f t="shared" si="19"/>
        <v>13</v>
      </c>
      <c r="E60" s="13">
        <f t="shared" si="20"/>
        <v>6</v>
      </c>
      <c r="F60" s="13">
        <f t="shared" si="21"/>
        <v>5</v>
      </c>
      <c r="G60" s="13">
        <f t="shared" si="22"/>
        <v>0</v>
      </c>
      <c r="H60" s="13">
        <f t="shared" si="23"/>
        <v>0</v>
      </c>
      <c r="I60" s="13">
        <f t="shared" si="24"/>
        <v>1</v>
      </c>
      <c r="J60" s="13">
        <f t="shared" si="25"/>
        <v>0</v>
      </c>
      <c r="K60" s="13" t="b">
        <f t="shared" si="10"/>
        <v>0</v>
      </c>
      <c r="L60" s="59">
        <f t="shared" si="11"/>
        <v>58</v>
      </c>
      <c r="M60" s="10"/>
      <c r="N60" s="8" t="s">
        <v>596</v>
      </c>
      <c r="O60" s="9">
        <f>IF(ISBLANK($N60),"",VLOOKUP($N60,List!$B$1:$F$2000,2,0))</f>
        <v>37848</v>
      </c>
      <c r="P60" s="10" t="str">
        <f>IF(ISBLANK($N60),"",VLOOKUP($N60,List!$B$1:$F$2000,3,0))</f>
        <v>Ульяновск</v>
      </c>
      <c r="Q60" s="10" t="str">
        <f>IF(ISBLANK($N60),"",VLOOKUP($N60,List!$B$1:$F$2000,4,0))</f>
        <v xml:space="preserve"> </v>
      </c>
      <c r="R60" s="11" t="str">
        <f>IF(ISBLANK($N60),"",VLOOKUP($N60,List!$B$1:$F$2000,5,0))</f>
        <v>Женский</v>
      </c>
      <c r="S60" s="61">
        <f t="shared" si="12"/>
        <v>11</v>
      </c>
      <c r="T60" s="16">
        <f t="shared" si="13"/>
        <v>2003</v>
      </c>
      <c r="U60" s="7"/>
      <c r="V60" t="s">
        <v>26</v>
      </c>
      <c r="X60" s="39"/>
    </row>
    <row r="61" spans="1:24" x14ac:dyDescent="0.2">
      <c r="A61" s="13">
        <f t="shared" si="16"/>
        <v>8</v>
      </c>
      <c r="B61" s="13">
        <f t="shared" si="17"/>
        <v>9</v>
      </c>
      <c r="C61" s="13">
        <f t="shared" si="18"/>
        <v>5</v>
      </c>
      <c r="D61" s="13">
        <f t="shared" si="19"/>
        <v>13</v>
      </c>
      <c r="E61" s="13">
        <f t="shared" si="20"/>
        <v>6</v>
      </c>
      <c r="F61" s="13">
        <f t="shared" si="21"/>
        <v>6</v>
      </c>
      <c r="G61" s="13">
        <f t="shared" si="22"/>
        <v>0</v>
      </c>
      <c r="H61" s="13">
        <f t="shared" si="23"/>
        <v>0</v>
      </c>
      <c r="I61" s="13">
        <f t="shared" si="24"/>
        <v>1</v>
      </c>
      <c r="J61" s="13">
        <f t="shared" si="25"/>
        <v>0</v>
      </c>
      <c r="K61" s="13" t="b">
        <f t="shared" si="10"/>
        <v>1</v>
      </c>
      <c r="L61" s="59">
        <f t="shared" si="11"/>
        <v>59</v>
      </c>
      <c r="M61" s="10">
        <v>15</v>
      </c>
      <c r="N61" s="8" t="s">
        <v>604</v>
      </c>
      <c r="O61" s="9">
        <f>IF(ISBLANK($N61),"",VLOOKUP($N61,List!$B$1:$F$2000,2,0))</f>
        <v>37981</v>
      </c>
      <c r="P61" s="10" t="str">
        <f>IF(ISBLANK($N61),"",VLOOKUP($N61,List!$B$1:$F$2000,3,0))</f>
        <v>Ульяновск</v>
      </c>
      <c r="Q61" s="10" t="str">
        <f>IF(ISBLANK($N61),"",VLOOKUP($N61,List!$B$1:$F$2000,4,0))</f>
        <v>Jerzy</v>
      </c>
      <c r="R61" s="11" t="str">
        <f>IF(ISBLANK($N61),"",VLOOKUP($N61,List!$B$1:$F$2000,5,0))</f>
        <v>Женский</v>
      </c>
      <c r="S61" s="61">
        <f t="shared" si="12"/>
        <v>11</v>
      </c>
      <c r="T61" s="16">
        <f t="shared" si="13"/>
        <v>2003</v>
      </c>
      <c r="U61" s="7"/>
      <c r="V61" t="s">
        <v>26</v>
      </c>
      <c r="X61" s="39"/>
    </row>
    <row r="62" spans="1:24" x14ac:dyDescent="0.2">
      <c r="A62" s="13">
        <f t="shared" si="16"/>
        <v>8</v>
      </c>
      <c r="B62" s="13">
        <f t="shared" si="17"/>
        <v>9</v>
      </c>
      <c r="C62" s="13">
        <f t="shared" si="18"/>
        <v>6</v>
      </c>
      <c r="D62" s="13">
        <f t="shared" si="19"/>
        <v>13</v>
      </c>
      <c r="E62" s="13">
        <f t="shared" si="20"/>
        <v>6</v>
      </c>
      <c r="F62" s="13">
        <f t="shared" si="21"/>
        <v>6</v>
      </c>
      <c r="G62" s="13">
        <f t="shared" si="22"/>
        <v>0</v>
      </c>
      <c r="H62" s="13">
        <f t="shared" si="23"/>
        <v>0</v>
      </c>
      <c r="I62" s="13">
        <f t="shared" si="24"/>
        <v>1</v>
      </c>
      <c r="J62" s="13">
        <f t="shared" si="25"/>
        <v>0</v>
      </c>
      <c r="K62" s="13" t="b">
        <f t="shared" si="10"/>
        <v>1</v>
      </c>
      <c r="L62" s="59">
        <f t="shared" si="11"/>
        <v>60</v>
      </c>
      <c r="M62" s="10">
        <v>3</v>
      </c>
      <c r="N62" s="8" t="s">
        <v>268</v>
      </c>
      <c r="O62" s="9">
        <f>IF(ISBLANK($N62),"",VLOOKUP($N62,List!$B$1:$F$2000,2,0))</f>
        <v>38099</v>
      </c>
      <c r="P62" s="10" t="str">
        <f>IF(ISBLANK($N62),"",VLOOKUP($N62,List!$B$1:$F$2000,3,0))</f>
        <v>Ульяновск</v>
      </c>
      <c r="Q62" s="10" t="str">
        <f>IF(ISBLANK($N62),"",VLOOKUP($N62,List!$B$1:$F$2000,4,0))</f>
        <v>UNITY</v>
      </c>
      <c r="R62" s="11" t="str">
        <f>IF(ISBLANK($N62),"",VLOOKUP($N62,List!$B$1:$F$2000,5,0))</f>
        <v>Мужской</v>
      </c>
      <c r="S62" s="61">
        <f t="shared" si="12"/>
        <v>10</v>
      </c>
      <c r="T62" s="16">
        <f t="shared" si="13"/>
        <v>2004</v>
      </c>
      <c r="U62" s="7"/>
      <c r="V62" t="s">
        <v>26</v>
      </c>
      <c r="X62" s="39"/>
    </row>
    <row r="63" spans="1:24" x14ac:dyDescent="0.2">
      <c r="A63" s="13">
        <f t="shared" si="16"/>
        <v>8</v>
      </c>
      <c r="B63" s="13">
        <f t="shared" si="17"/>
        <v>9</v>
      </c>
      <c r="C63" s="13">
        <f t="shared" si="18"/>
        <v>6</v>
      </c>
      <c r="D63" s="13">
        <f t="shared" si="19"/>
        <v>13</v>
      </c>
      <c r="E63" s="13">
        <f t="shared" si="20"/>
        <v>7</v>
      </c>
      <c r="F63" s="13">
        <f t="shared" si="21"/>
        <v>6</v>
      </c>
      <c r="G63" s="13">
        <f t="shared" si="22"/>
        <v>0</v>
      </c>
      <c r="H63" s="13">
        <f t="shared" si="23"/>
        <v>0</v>
      </c>
      <c r="I63" s="13">
        <f t="shared" si="24"/>
        <v>1</v>
      </c>
      <c r="J63" s="13">
        <f t="shared" si="25"/>
        <v>0</v>
      </c>
      <c r="K63" s="13" t="b">
        <f t="shared" si="10"/>
        <v>1</v>
      </c>
      <c r="L63" s="59">
        <f t="shared" si="11"/>
        <v>61</v>
      </c>
      <c r="M63" s="10">
        <v>2</v>
      </c>
      <c r="N63" s="8" t="s">
        <v>609</v>
      </c>
      <c r="O63" s="9">
        <f>IF(ISBLANK($N63),"",VLOOKUP($N63,List!$B$1:$F$2000,2,0))</f>
        <v>37861</v>
      </c>
      <c r="P63" s="10" t="str">
        <f>IF(ISBLANK($N63),"",VLOOKUP($N63,List!$B$1:$F$2000,3,0))</f>
        <v>Ульяновск</v>
      </c>
      <c r="Q63" s="10" t="str">
        <f>IF(ISBLANK($N63),"",VLOOKUP($N63,List!$B$1:$F$2000,4,0))</f>
        <v xml:space="preserve"> </v>
      </c>
      <c r="R63" s="11" t="str">
        <f>IF(ISBLANK($N63),"",VLOOKUP($N63,List!$B$1:$F$2000,5,0))</f>
        <v>Мужской</v>
      </c>
      <c r="S63" s="61">
        <f t="shared" si="12"/>
        <v>11</v>
      </c>
      <c r="T63" s="16">
        <f t="shared" si="13"/>
        <v>2003</v>
      </c>
      <c r="U63" s="7"/>
      <c r="V63" t="s">
        <v>26</v>
      </c>
      <c r="X63" s="39"/>
    </row>
    <row r="64" spans="1:24" x14ac:dyDescent="0.2">
      <c r="A64" s="13">
        <f t="shared" si="16"/>
        <v>9</v>
      </c>
      <c r="B64" s="13">
        <f t="shared" si="17"/>
        <v>9</v>
      </c>
      <c r="C64" s="13">
        <f t="shared" si="18"/>
        <v>6</v>
      </c>
      <c r="D64" s="13">
        <f t="shared" si="19"/>
        <v>13</v>
      </c>
      <c r="E64" s="13">
        <f t="shared" si="20"/>
        <v>7</v>
      </c>
      <c r="F64" s="13">
        <f t="shared" si="21"/>
        <v>6</v>
      </c>
      <c r="G64" s="13">
        <f t="shared" si="22"/>
        <v>0</v>
      </c>
      <c r="H64" s="13">
        <f t="shared" si="23"/>
        <v>0</v>
      </c>
      <c r="I64" s="13">
        <f t="shared" si="24"/>
        <v>1</v>
      </c>
      <c r="J64" s="13">
        <f t="shared" si="25"/>
        <v>0</v>
      </c>
      <c r="K64" s="13" t="b">
        <f t="shared" si="10"/>
        <v>1</v>
      </c>
      <c r="L64" s="59">
        <f t="shared" si="11"/>
        <v>62</v>
      </c>
      <c r="M64" s="10">
        <v>24</v>
      </c>
      <c r="N64" s="8" t="s">
        <v>581</v>
      </c>
      <c r="O64" s="9">
        <f>IF(ISBLANK($N64),"",VLOOKUP($N64,List!$B$1:$F$2000,2,0))</f>
        <v>39705</v>
      </c>
      <c r="P64" s="10" t="str">
        <f>IF(ISBLANK($N64),"",VLOOKUP($N64,List!$B$1:$F$2000,3,0))</f>
        <v>Ульяновск</v>
      </c>
      <c r="Q64" s="10" t="str">
        <f>IF(ISBLANK($N64),"",VLOOKUP($N64,List!$B$1:$F$2000,4,0))</f>
        <v>UNITY</v>
      </c>
      <c r="R64" s="11" t="str">
        <f>IF(ISBLANK($N64),"",VLOOKUP($N64,List!$B$1:$F$2000,5,0))</f>
        <v>Мужской</v>
      </c>
      <c r="S64" s="61">
        <f t="shared" si="12"/>
        <v>6</v>
      </c>
      <c r="T64" s="16">
        <f t="shared" si="13"/>
        <v>2008</v>
      </c>
      <c r="U64" s="7"/>
      <c r="V64" t="s">
        <v>26</v>
      </c>
      <c r="X64" s="39"/>
    </row>
    <row r="65" spans="1:24" x14ac:dyDescent="0.2">
      <c r="A65" s="13">
        <f t="shared" si="16"/>
        <v>9</v>
      </c>
      <c r="B65" s="13">
        <f t="shared" si="17"/>
        <v>9</v>
      </c>
      <c r="C65" s="13">
        <f t="shared" si="18"/>
        <v>6</v>
      </c>
      <c r="D65" s="13">
        <f t="shared" si="19"/>
        <v>13</v>
      </c>
      <c r="E65" s="13">
        <f t="shared" si="20"/>
        <v>7</v>
      </c>
      <c r="F65" s="13">
        <f t="shared" si="21"/>
        <v>6</v>
      </c>
      <c r="G65" s="13">
        <f t="shared" si="22"/>
        <v>0</v>
      </c>
      <c r="H65" s="13">
        <f t="shared" si="23"/>
        <v>0</v>
      </c>
      <c r="I65" s="13">
        <f t="shared" si="24"/>
        <v>1</v>
      </c>
      <c r="J65" s="13">
        <f t="shared" si="25"/>
        <v>0</v>
      </c>
      <c r="K65" s="13" t="b">
        <f t="shared" si="10"/>
        <v>0</v>
      </c>
      <c r="L65" s="59" t="str">
        <f t="shared" si="11"/>
        <v/>
      </c>
      <c r="M65" s="10"/>
      <c r="N65" s="8"/>
      <c r="O65" s="9" t="str">
        <f>IF(ISBLANK($N65),"",VLOOKUP($N65,List!$B$1:$F$2000,2,0))</f>
        <v/>
      </c>
      <c r="P65" s="10" t="str">
        <f>IF(ISBLANK($N65),"",VLOOKUP($N65,List!$B$1:$F$2000,3,0))</f>
        <v/>
      </c>
      <c r="Q65" s="10" t="str">
        <f>IF(ISBLANK($N65),"",VLOOKUP($N65,List!$B$1:$F$2000,4,0))</f>
        <v/>
      </c>
      <c r="R65" s="11" t="str">
        <f>IF(ISBLANK($N65),"",VLOOKUP($N65,List!$B$1:$F$2000,5,0))</f>
        <v/>
      </c>
      <c r="S65" s="61" t="str">
        <f t="shared" si="12"/>
        <v/>
      </c>
      <c r="T65" s="16" t="str">
        <f t="shared" si="13"/>
        <v/>
      </c>
      <c r="U65" s="7"/>
      <c r="V65" t="s">
        <v>26</v>
      </c>
      <c r="X65" s="39"/>
    </row>
    <row r="66" spans="1:24" x14ac:dyDescent="0.2">
      <c r="A66" s="13">
        <f t="shared" si="16"/>
        <v>9</v>
      </c>
      <c r="B66" s="13">
        <f t="shared" si="17"/>
        <v>9</v>
      </c>
      <c r="C66" s="13">
        <f t="shared" si="18"/>
        <v>6</v>
      </c>
      <c r="D66" s="13">
        <f t="shared" si="19"/>
        <v>13</v>
      </c>
      <c r="E66" s="13">
        <f t="shared" si="20"/>
        <v>7</v>
      </c>
      <c r="F66" s="13">
        <f t="shared" si="21"/>
        <v>6</v>
      </c>
      <c r="G66" s="13">
        <f t="shared" si="22"/>
        <v>0</v>
      </c>
      <c r="H66" s="13">
        <f t="shared" si="23"/>
        <v>0</v>
      </c>
      <c r="I66" s="13">
        <f t="shared" si="24"/>
        <v>1</v>
      </c>
      <c r="J66" s="13">
        <f t="shared" si="25"/>
        <v>0</v>
      </c>
      <c r="K66" s="13" t="b">
        <f t="shared" si="10"/>
        <v>0</v>
      </c>
      <c r="L66" s="59" t="str">
        <f t="shared" si="11"/>
        <v/>
      </c>
      <c r="M66" s="10"/>
      <c r="N66" s="8"/>
      <c r="O66" s="9" t="str">
        <f>IF(ISBLANK($N66),"",VLOOKUP($N66,List!$B$1:$F$2000,2,0))</f>
        <v/>
      </c>
      <c r="P66" s="10" t="str">
        <f>IF(ISBLANK($N66),"",VLOOKUP($N66,List!$B$1:$F$2000,3,0))</f>
        <v/>
      </c>
      <c r="Q66" s="10" t="str">
        <f>IF(ISBLANK($N66),"",VLOOKUP($N66,List!$B$1:$F$2000,4,0))</f>
        <v/>
      </c>
      <c r="R66" s="11" t="str">
        <f>IF(ISBLANK($N66),"",VLOOKUP($N66,List!$B$1:$F$2000,5,0))</f>
        <v/>
      </c>
      <c r="S66" s="61" t="str">
        <f t="shared" si="12"/>
        <v/>
      </c>
      <c r="T66" s="16" t="str">
        <f t="shared" si="13"/>
        <v/>
      </c>
      <c r="U66" s="7"/>
      <c r="V66" t="s">
        <v>26</v>
      </c>
      <c r="X66" s="39"/>
    </row>
    <row r="67" spans="1:24" x14ac:dyDescent="0.2">
      <c r="A67" s="13">
        <f t="shared" ref="A67:A98" si="26">IF(AND($K67,$S67&lt;$C$1,$S67&gt;=$A$1,$R67="Мужской"),A66+1,A66)</f>
        <v>9</v>
      </c>
      <c r="B67" s="13">
        <f t="shared" ref="B67:B98" si="27">IF(AND($K67,$S67&lt;$D$1,$S67&gt;=$B$1,$R67="Женский"),B66+1,B66)</f>
        <v>9</v>
      </c>
      <c r="C67" s="13">
        <f t="shared" ref="C67:C98" si="28">IF(AND($K67,$S67&lt;$E$1,$S67&gt;=$C$1,$R67="Мужской"),C66+1,C66)</f>
        <v>6</v>
      </c>
      <c r="D67" s="13">
        <f t="shared" ref="D67:D98" si="29">IF(AND($K67,$S67&lt;$F$1,$S67&gt;=$D$1,$R67="Женский"),D66+1,D66)</f>
        <v>13</v>
      </c>
      <c r="E67" s="13">
        <f t="shared" ref="E67:E98" si="30">IF(AND($K67,$S67&lt;$G$1,$S67&gt;=$E$1,$R67="Мужской"),E66+1,E66)</f>
        <v>7</v>
      </c>
      <c r="F67" s="13">
        <f t="shared" ref="F67:F98" si="31">IF(AND($K67,$S67&lt;$H$1,$S67&gt;=$F$1,$R67="Женский"),F66+1,F66)</f>
        <v>6</v>
      </c>
      <c r="G67" s="13">
        <f t="shared" ref="G67:G98" si="32">IF(AND($K67,$S67&lt;$I$1,$S67&gt;=$G$1,$R67="Мужской"),G66+1,G66)</f>
        <v>0</v>
      </c>
      <c r="H67" s="13">
        <f t="shared" ref="H67:H98" si="33">IF(AND($K67,$S67&lt;$J$1,$S67&gt;=$H$1,$R67="Женский"),H66+1,H66)</f>
        <v>0</v>
      </c>
      <c r="I67" s="13">
        <f t="shared" ref="I67:I98" si="34">IF(AND($K67,$S67&lt;$K$1,$S67&gt;=$I$1,$R67="Мужской"),I66+1,I66)</f>
        <v>1</v>
      </c>
      <c r="J67" s="13">
        <f t="shared" ref="J67:J98" si="35">IF(AND($K67,$S67&lt;$K105,$S67&gt;=$J$1,$R67="Женский"),J66+1,J66)</f>
        <v>0</v>
      </c>
      <c r="K67" s="13" t="b">
        <f t="shared" si="10"/>
        <v>0</v>
      </c>
      <c r="L67" s="59" t="str">
        <f t="shared" si="11"/>
        <v/>
      </c>
      <c r="M67" s="10"/>
      <c r="N67" s="8"/>
      <c r="O67" s="9" t="str">
        <f>IF(ISBLANK($N67),"",VLOOKUP($N67,List!$B$1:$F$2000,2,0))</f>
        <v/>
      </c>
      <c r="P67" s="10" t="str">
        <f>IF(ISBLANK($N67),"",VLOOKUP($N67,List!$B$1:$F$2000,3,0))</f>
        <v/>
      </c>
      <c r="Q67" s="10" t="str">
        <f>IF(ISBLANK($N67),"",VLOOKUP($N67,List!$B$1:$F$2000,4,0))</f>
        <v/>
      </c>
      <c r="R67" s="11" t="str">
        <f>IF(ISBLANK($N67),"",VLOOKUP($N67,List!$B$1:$F$2000,5,0))</f>
        <v/>
      </c>
      <c r="S67" s="61" t="str">
        <f t="shared" si="12"/>
        <v/>
      </c>
      <c r="T67" s="16" t="str">
        <f t="shared" si="13"/>
        <v/>
      </c>
      <c r="U67" s="7"/>
      <c r="V67" t="s">
        <v>26</v>
      </c>
      <c r="X67" s="39"/>
    </row>
    <row r="68" spans="1:24" x14ac:dyDescent="0.2">
      <c r="A68" s="13">
        <f t="shared" si="26"/>
        <v>9</v>
      </c>
      <c r="B68" s="13">
        <f t="shared" si="27"/>
        <v>9</v>
      </c>
      <c r="C68" s="13">
        <f t="shared" si="28"/>
        <v>6</v>
      </c>
      <c r="D68" s="13">
        <f t="shared" si="29"/>
        <v>13</v>
      </c>
      <c r="E68" s="13">
        <f t="shared" si="30"/>
        <v>7</v>
      </c>
      <c r="F68" s="13">
        <f t="shared" si="31"/>
        <v>6</v>
      </c>
      <c r="G68" s="13">
        <f t="shared" si="32"/>
        <v>0</v>
      </c>
      <c r="H68" s="13">
        <f t="shared" si="33"/>
        <v>0</v>
      </c>
      <c r="I68" s="13">
        <f t="shared" si="34"/>
        <v>1</v>
      </c>
      <c r="J68" s="13">
        <f t="shared" si="35"/>
        <v>0</v>
      </c>
      <c r="K68" s="13" t="b">
        <f t="shared" ref="K68:K131" si="36">NOT(ISBLANK($M68))</f>
        <v>0</v>
      </c>
      <c r="L68" s="59" t="str">
        <f t="shared" ref="L68:L131" si="37">IF(ISBLANK($N68),"",ROW()-2)</f>
        <v/>
      </c>
      <c r="M68" s="10"/>
      <c r="N68" s="8"/>
      <c r="O68" s="9" t="str">
        <f>IF(ISBLANK($N68),"",VLOOKUP($N68,List!$B$1:$F$2000,2,0))</f>
        <v/>
      </c>
      <c r="P68" s="10" t="str">
        <f>IF(ISBLANK($N68),"",VLOOKUP($N68,List!$B$1:$F$2000,3,0))</f>
        <v/>
      </c>
      <c r="Q68" s="10" t="str">
        <f>IF(ISBLANK($N68),"",VLOOKUP($N68,List!$B$1:$F$2000,4,0))</f>
        <v/>
      </c>
      <c r="R68" s="11" t="str">
        <f>IF(ISBLANK($N68),"",VLOOKUP($N68,List!$B$1:$F$2000,5,0))</f>
        <v/>
      </c>
      <c r="S68" s="61" t="str">
        <f t="shared" ref="S68:S131" si="38">IF($O68="","",($T$1-$T68))</f>
        <v/>
      </c>
      <c r="T68" s="16" t="str">
        <f t="shared" ref="T68:T131" si="39">IF($O68="","",YEAR($O68))</f>
        <v/>
      </c>
      <c r="U68" s="7"/>
      <c r="V68" t="s">
        <v>26</v>
      </c>
      <c r="X68" s="39"/>
    </row>
    <row r="69" spans="1:24" x14ac:dyDescent="0.2">
      <c r="A69" s="13">
        <f t="shared" si="26"/>
        <v>9</v>
      </c>
      <c r="B69" s="13">
        <f t="shared" si="27"/>
        <v>9</v>
      </c>
      <c r="C69" s="13">
        <f t="shared" si="28"/>
        <v>6</v>
      </c>
      <c r="D69" s="13">
        <f t="shared" si="29"/>
        <v>13</v>
      </c>
      <c r="E69" s="13">
        <f t="shared" si="30"/>
        <v>7</v>
      </c>
      <c r="F69" s="13">
        <f t="shared" si="31"/>
        <v>6</v>
      </c>
      <c r="G69" s="13">
        <f t="shared" si="32"/>
        <v>0</v>
      </c>
      <c r="H69" s="13">
        <f t="shared" si="33"/>
        <v>0</v>
      </c>
      <c r="I69" s="13">
        <f t="shared" si="34"/>
        <v>1</v>
      </c>
      <c r="J69" s="13">
        <f t="shared" si="35"/>
        <v>0</v>
      </c>
      <c r="K69" s="13" t="b">
        <f t="shared" si="36"/>
        <v>0</v>
      </c>
      <c r="L69" s="59" t="str">
        <f t="shared" si="37"/>
        <v/>
      </c>
      <c r="M69" s="10"/>
      <c r="N69" s="8"/>
      <c r="O69" s="9" t="str">
        <f>IF(ISBLANK($N69),"",VLOOKUP($N69,List!$B$1:$F$2000,2,0))</f>
        <v/>
      </c>
      <c r="P69" s="10" t="str">
        <f>IF(ISBLANK($N69),"",VLOOKUP($N69,List!$B$1:$F$2000,3,0))</f>
        <v/>
      </c>
      <c r="Q69" s="10" t="str">
        <f>IF(ISBLANK($N69),"",VLOOKUP($N69,List!$B$1:$F$2000,4,0))</f>
        <v/>
      </c>
      <c r="R69" s="11" t="str">
        <f>IF(ISBLANK($N69),"",VLOOKUP($N69,List!$B$1:$F$2000,5,0))</f>
        <v/>
      </c>
      <c r="S69" s="61" t="str">
        <f t="shared" si="38"/>
        <v/>
      </c>
      <c r="T69" s="16" t="str">
        <f t="shared" si="39"/>
        <v/>
      </c>
      <c r="U69" s="7"/>
      <c r="V69" t="s">
        <v>26</v>
      </c>
      <c r="X69" s="39"/>
    </row>
    <row r="70" spans="1:24" x14ac:dyDescent="0.2">
      <c r="A70" s="13">
        <f t="shared" si="26"/>
        <v>9</v>
      </c>
      <c r="B70" s="13">
        <f t="shared" si="27"/>
        <v>9</v>
      </c>
      <c r="C70" s="13">
        <f t="shared" si="28"/>
        <v>6</v>
      </c>
      <c r="D70" s="13">
        <f t="shared" si="29"/>
        <v>13</v>
      </c>
      <c r="E70" s="13">
        <f t="shared" si="30"/>
        <v>7</v>
      </c>
      <c r="F70" s="13">
        <f t="shared" si="31"/>
        <v>6</v>
      </c>
      <c r="G70" s="13">
        <f t="shared" si="32"/>
        <v>0</v>
      </c>
      <c r="H70" s="13">
        <f t="shared" si="33"/>
        <v>0</v>
      </c>
      <c r="I70" s="13">
        <f t="shared" si="34"/>
        <v>1</v>
      </c>
      <c r="J70" s="13">
        <f t="shared" si="35"/>
        <v>0</v>
      </c>
      <c r="K70" s="13" t="b">
        <f t="shared" si="36"/>
        <v>0</v>
      </c>
      <c r="L70" s="59" t="str">
        <f t="shared" si="37"/>
        <v/>
      </c>
      <c r="M70" s="10"/>
      <c r="N70" s="8"/>
      <c r="O70" s="9" t="str">
        <f>IF(ISBLANK($N70),"",VLOOKUP($N70,List!$B$1:$F$2000,2,0))</f>
        <v/>
      </c>
      <c r="P70" s="10" t="str">
        <f>IF(ISBLANK($N70),"",VLOOKUP($N70,List!$B$1:$F$2000,3,0))</f>
        <v/>
      </c>
      <c r="Q70" s="10" t="str">
        <f>IF(ISBLANK($N70),"",VLOOKUP($N70,List!$B$1:$F$2000,4,0))</f>
        <v/>
      </c>
      <c r="R70" s="11" t="str">
        <f>IF(ISBLANK($N70),"",VLOOKUP($N70,List!$B$1:$F$2000,5,0))</f>
        <v/>
      </c>
      <c r="S70" s="61" t="str">
        <f t="shared" si="38"/>
        <v/>
      </c>
      <c r="T70" s="16" t="str">
        <f t="shared" si="39"/>
        <v/>
      </c>
      <c r="U70" s="7"/>
      <c r="V70" t="s">
        <v>26</v>
      </c>
      <c r="X70" s="39"/>
    </row>
    <row r="71" spans="1:24" x14ac:dyDescent="0.2">
      <c r="A71" s="13">
        <f t="shared" si="26"/>
        <v>9</v>
      </c>
      <c r="B71" s="13">
        <f t="shared" si="27"/>
        <v>9</v>
      </c>
      <c r="C71" s="13">
        <f t="shared" si="28"/>
        <v>6</v>
      </c>
      <c r="D71" s="13">
        <f t="shared" si="29"/>
        <v>13</v>
      </c>
      <c r="E71" s="13">
        <f t="shared" si="30"/>
        <v>7</v>
      </c>
      <c r="F71" s="13">
        <f t="shared" si="31"/>
        <v>6</v>
      </c>
      <c r="G71" s="13">
        <f t="shared" si="32"/>
        <v>0</v>
      </c>
      <c r="H71" s="13">
        <f t="shared" si="33"/>
        <v>0</v>
      </c>
      <c r="I71" s="13">
        <f t="shared" si="34"/>
        <v>1</v>
      </c>
      <c r="J71" s="13">
        <f t="shared" si="35"/>
        <v>0</v>
      </c>
      <c r="K71" s="13" t="b">
        <f t="shared" si="36"/>
        <v>0</v>
      </c>
      <c r="L71" s="59" t="str">
        <f t="shared" si="37"/>
        <v/>
      </c>
      <c r="M71" s="10"/>
      <c r="N71" s="8"/>
      <c r="O71" s="9" t="str">
        <f>IF(ISBLANK($N71),"",VLOOKUP($N71,List!$B$1:$F$2000,2,0))</f>
        <v/>
      </c>
      <c r="P71" s="10" t="str">
        <f>IF(ISBLANK($N71),"",VLOOKUP($N71,List!$B$1:$F$2000,3,0))</f>
        <v/>
      </c>
      <c r="Q71" s="10" t="str">
        <f>IF(ISBLANK($N71),"",VLOOKUP($N71,List!$B$1:$F$2000,4,0))</f>
        <v/>
      </c>
      <c r="R71" s="11" t="str">
        <f>IF(ISBLANK($N71),"",VLOOKUP($N71,List!$B$1:$F$2000,5,0))</f>
        <v/>
      </c>
      <c r="S71" s="61" t="str">
        <f t="shared" si="38"/>
        <v/>
      </c>
      <c r="T71" s="16" t="str">
        <f t="shared" si="39"/>
        <v/>
      </c>
      <c r="U71" s="7"/>
      <c r="V71" t="s">
        <v>26</v>
      </c>
      <c r="X71" s="39"/>
    </row>
    <row r="72" spans="1:24" x14ac:dyDescent="0.2">
      <c r="A72" s="13">
        <f t="shared" si="26"/>
        <v>9</v>
      </c>
      <c r="B72" s="13">
        <f t="shared" si="27"/>
        <v>9</v>
      </c>
      <c r="C72" s="13">
        <f t="shared" si="28"/>
        <v>6</v>
      </c>
      <c r="D72" s="13">
        <f t="shared" si="29"/>
        <v>13</v>
      </c>
      <c r="E72" s="13">
        <f t="shared" si="30"/>
        <v>7</v>
      </c>
      <c r="F72" s="13">
        <f t="shared" si="31"/>
        <v>6</v>
      </c>
      <c r="G72" s="13">
        <f t="shared" si="32"/>
        <v>0</v>
      </c>
      <c r="H72" s="13">
        <f t="shared" si="33"/>
        <v>0</v>
      </c>
      <c r="I72" s="13">
        <f t="shared" si="34"/>
        <v>1</v>
      </c>
      <c r="J72" s="13">
        <f t="shared" si="35"/>
        <v>0</v>
      </c>
      <c r="K72" s="13" t="b">
        <f t="shared" si="36"/>
        <v>0</v>
      </c>
      <c r="L72" s="59" t="str">
        <f t="shared" si="37"/>
        <v/>
      </c>
      <c r="M72" s="10"/>
      <c r="N72" s="8"/>
      <c r="O72" s="9" t="str">
        <f>IF(ISBLANK($N72),"",VLOOKUP($N72,List!$B$1:$F$2000,2,0))</f>
        <v/>
      </c>
      <c r="P72" s="10" t="str">
        <f>IF(ISBLANK($N72),"",VLOOKUP($N72,List!$B$1:$F$2000,3,0))</f>
        <v/>
      </c>
      <c r="Q72" s="10" t="str">
        <f>IF(ISBLANK($N72),"",VLOOKUP($N72,List!$B$1:$F$2000,4,0))</f>
        <v/>
      </c>
      <c r="R72" s="11" t="str">
        <f>IF(ISBLANK($N72),"",VLOOKUP($N72,List!$B$1:$F$2000,5,0))</f>
        <v/>
      </c>
      <c r="S72" s="61" t="str">
        <f t="shared" si="38"/>
        <v/>
      </c>
      <c r="T72" s="16" t="str">
        <f t="shared" si="39"/>
        <v/>
      </c>
      <c r="U72" s="7"/>
      <c r="V72" t="s">
        <v>26</v>
      </c>
      <c r="X72" s="39"/>
    </row>
    <row r="73" spans="1:24" x14ac:dyDescent="0.2">
      <c r="A73" s="13">
        <f t="shared" si="26"/>
        <v>9</v>
      </c>
      <c r="B73" s="13">
        <f t="shared" si="27"/>
        <v>9</v>
      </c>
      <c r="C73" s="13">
        <f t="shared" si="28"/>
        <v>6</v>
      </c>
      <c r="D73" s="13">
        <f t="shared" si="29"/>
        <v>13</v>
      </c>
      <c r="E73" s="13">
        <f t="shared" si="30"/>
        <v>7</v>
      </c>
      <c r="F73" s="13">
        <f t="shared" si="31"/>
        <v>6</v>
      </c>
      <c r="G73" s="13">
        <f t="shared" si="32"/>
        <v>0</v>
      </c>
      <c r="H73" s="13">
        <f t="shared" si="33"/>
        <v>0</v>
      </c>
      <c r="I73" s="13">
        <f t="shared" si="34"/>
        <v>1</v>
      </c>
      <c r="J73" s="13">
        <f t="shared" si="35"/>
        <v>0</v>
      </c>
      <c r="K73" s="13" t="b">
        <f t="shared" si="36"/>
        <v>0</v>
      </c>
      <c r="L73" s="59" t="str">
        <f t="shared" si="37"/>
        <v/>
      </c>
      <c r="M73" s="10"/>
      <c r="N73" s="8"/>
      <c r="O73" s="9" t="str">
        <f>IF(ISBLANK($N73),"",VLOOKUP($N73,List!$B$1:$F$2000,2,0))</f>
        <v/>
      </c>
      <c r="P73" s="10" t="str">
        <f>IF(ISBLANK($N73),"",VLOOKUP($N73,List!$B$1:$F$2000,3,0))</f>
        <v/>
      </c>
      <c r="Q73" s="10" t="str">
        <f>IF(ISBLANK($N73),"",VLOOKUP($N73,List!$B$1:$F$2000,4,0))</f>
        <v/>
      </c>
      <c r="R73" s="11" t="str">
        <f>IF(ISBLANK($N73),"",VLOOKUP($N73,List!$B$1:$F$2000,5,0))</f>
        <v/>
      </c>
      <c r="S73" s="61" t="str">
        <f t="shared" si="38"/>
        <v/>
      </c>
      <c r="T73" s="16" t="str">
        <f t="shared" si="39"/>
        <v/>
      </c>
      <c r="U73" s="7"/>
      <c r="V73" t="s">
        <v>26</v>
      </c>
      <c r="X73" s="39"/>
    </row>
    <row r="74" spans="1:24" x14ac:dyDescent="0.2">
      <c r="A74" s="13">
        <f t="shared" si="26"/>
        <v>9</v>
      </c>
      <c r="B74" s="13">
        <f t="shared" si="27"/>
        <v>9</v>
      </c>
      <c r="C74" s="13">
        <f t="shared" si="28"/>
        <v>6</v>
      </c>
      <c r="D74" s="13">
        <f t="shared" si="29"/>
        <v>13</v>
      </c>
      <c r="E74" s="13">
        <f t="shared" si="30"/>
        <v>7</v>
      </c>
      <c r="F74" s="13">
        <f t="shared" si="31"/>
        <v>6</v>
      </c>
      <c r="G74" s="13">
        <f t="shared" si="32"/>
        <v>0</v>
      </c>
      <c r="H74" s="13">
        <f t="shared" si="33"/>
        <v>0</v>
      </c>
      <c r="I74" s="13">
        <f t="shared" si="34"/>
        <v>1</v>
      </c>
      <c r="J74" s="13">
        <f t="shared" si="35"/>
        <v>0</v>
      </c>
      <c r="K74" s="13" t="b">
        <f t="shared" si="36"/>
        <v>0</v>
      </c>
      <c r="L74" s="59" t="str">
        <f t="shared" si="37"/>
        <v/>
      </c>
      <c r="M74" s="10"/>
      <c r="N74" s="8"/>
      <c r="O74" s="9" t="str">
        <f>IF(ISBLANK($N74),"",VLOOKUP($N74,List!$B$1:$F$2000,2,0))</f>
        <v/>
      </c>
      <c r="P74" s="10" t="str">
        <f>IF(ISBLANK($N74),"",VLOOKUP($N74,List!$B$1:$F$2000,3,0))</f>
        <v/>
      </c>
      <c r="Q74" s="10" t="str">
        <f>IF(ISBLANK($N74),"",VLOOKUP($N74,List!$B$1:$F$2000,4,0))</f>
        <v/>
      </c>
      <c r="R74" s="11" t="str">
        <f>IF(ISBLANK($N74),"",VLOOKUP($N74,List!$B$1:$F$2000,5,0))</f>
        <v/>
      </c>
      <c r="S74" s="61" t="str">
        <f t="shared" si="38"/>
        <v/>
      </c>
      <c r="T74" s="16" t="str">
        <f t="shared" si="39"/>
        <v/>
      </c>
      <c r="U74" s="7"/>
      <c r="V74" t="s">
        <v>26</v>
      </c>
      <c r="X74" s="39"/>
    </row>
    <row r="75" spans="1:24" x14ac:dyDescent="0.2">
      <c r="A75" s="13">
        <f t="shared" si="26"/>
        <v>9</v>
      </c>
      <c r="B75" s="13">
        <f t="shared" si="27"/>
        <v>9</v>
      </c>
      <c r="C75" s="13">
        <f t="shared" si="28"/>
        <v>6</v>
      </c>
      <c r="D75" s="13">
        <f t="shared" si="29"/>
        <v>13</v>
      </c>
      <c r="E75" s="13">
        <f t="shared" si="30"/>
        <v>7</v>
      </c>
      <c r="F75" s="13">
        <f t="shared" si="31"/>
        <v>6</v>
      </c>
      <c r="G75" s="13">
        <f t="shared" si="32"/>
        <v>0</v>
      </c>
      <c r="H75" s="13">
        <f t="shared" si="33"/>
        <v>0</v>
      </c>
      <c r="I75" s="13">
        <f t="shared" si="34"/>
        <v>1</v>
      </c>
      <c r="J75" s="13">
        <f t="shared" si="35"/>
        <v>0</v>
      </c>
      <c r="K75" s="13" t="b">
        <f t="shared" si="36"/>
        <v>0</v>
      </c>
      <c r="L75" s="59" t="str">
        <f t="shared" si="37"/>
        <v/>
      </c>
      <c r="M75" s="10"/>
      <c r="N75" s="66"/>
      <c r="O75" s="9" t="str">
        <f>IF(ISBLANK($N75),"",VLOOKUP($N75,List!$B$1:$F$2000,2,0))</f>
        <v/>
      </c>
      <c r="P75" s="10" t="str">
        <f>IF(ISBLANK($N75),"",VLOOKUP($N75,List!$B$1:$F$2000,3,0))</f>
        <v/>
      </c>
      <c r="Q75" s="10" t="str">
        <f>IF(ISBLANK($N75),"",VLOOKUP($N75,List!$B$1:$F$2000,4,0))</f>
        <v/>
      </c>
      <c r="R75" s="11" t="str">
        <f>IF(ISBLANK($N75),"",VLOOKUP($N75,List!$B$1:$F$2000,5,0))</f>
        <v/>
      </c>
      <c r="S75" s="61" t="str">
        <f t="shared" si="38"/>
        <v/>
      </c>
      <c r="T75" s="16" t="str">
        <f t="shared" si="39"/>
        <v/>
      </c>
      <c r="U75" s="7"/>
      <c r="V75" t="s">
        <v>26</v>
      </c>
      <c r="X75" s="39"/>
    </row>
    <row r="76" spans="1:24" x14ac:dyDescent="0.2">
      <c r="A76" s="13">
        <f t="shared" si="26"/>
        <v>9</v>
      </c>
      <c r="B76" s="13">
        <f t="shared" si="27"/>
        <v>9</v>
      </c>
      <c r="C76" s="13">
        <f t="shared" si="28"/>
        <v>6</v>
      </c>
      <c r="D76" s="13">
        <f t="shared" si="29"/>
        <v>13</v>
      </c>
      <c r="E76" s="13">
        <f t="shared" si="30"/>
        <v>7</v>
      </c>
      <c r="F76" s="13">
        <f t="shared" si="31"/>
        <v>6</v>
      </c>
      <c r="G76" s="13">
        <f t="shared" si="32"/>
        <v>0</v>
      </c>
      <c r="H76" s="13">
        <f t="shared" si="33"/>
        <v>0</v>
      </c>
      <c r="I76" s="13">
        <f t="shared" si="34"/>
        <v>1</v>
      </c>
      <c r="J76" s="13">
        <f t="shared" si="35"/>
        <v>0</v>
      </c>
      <c r="K76" s="13" t="b">
        <f t="shared" si="36"/>
        <v>0</v>
      </c>
      <c r="L76" s="59" t="str">
        <f t="shared" si="37"/>
        <v/>
      </c>
      <c r="M76" s="10"/>
      <c r="N76" s="8"/>
      <c r="O76" s="9" t="str">
        <f>IF(ISBLANK($N76),"",VLOOKUP($N76,List!$B$1:$F$2000,2,0))</f>
        <v/>
      </c>
      <c r="P76" s="10" t="str">
        <f>IF(ISBLANK($N76),"",VLOOKUP($N76,List!$B$1:$F$2000,3,0))</f>
        <v/>
      </c>
      <c r="Q76" s="10" t="str">
        <f>IF(ISBLANK($N76),"",VLOOKUP($N76,List!$B$1:$F$2000,4,0))</f>
        <v/>
      </c>
      <c r="R76" s="11" t="str">
        <f>IF(ISBLANK($N76),"",VLOOKUP($N76,List!$B$1:$F$2000,5,0))</f>
        <v/>
      </c>
      <c r="S76" s="61" t="str">
        <f t="shared" si="38"/>
        <v/>
      </c>
      <c r="T76" s="16" t="str">
        <f t="shared" si="39"/>
        <v/>
      </c>
      <c r="U76" s="7"/>
      <c r="V76" t="s">
        <v>26</v>
      </c>
      <c r="X76" s="39"/>
    </row>
    <row r="77" spans="1:24" x14ac:dyDescent="0.2">
      <c r="A77" s="13">
        <f t="shared" si="26"/>
        <v>9</v>
      </c>
      <c r="B77" s="13">
        <f t="shared" si="27"/>
        <v>9</v>
      </c>
      <c r="C77" s="13">
        <f t="shared" si="28"/>
        <v>6</v>
      </c>
      <c r="D77" s="13">
        <f t="shared" si="29"/>
        <v>13</v>
      </c>
      <c r="E77" s="13">
        <f t="shared" si="30"/>
        <v>7</v>
      </c>
      <c r="F77" s="13">
        <f t="shared" si="31"/>
        <v>6</v>
      </c>
      <c r="G77" s="13">
        <f t="shared" si="32"/>
        <v>0</v>
      </c>
      <c r="H77" s="13">
        <f t="shared" si="33"/>
        <v>0</v>
      </c>
      <c r="I77" s="13">
        <f t="shared" si="34"/>
        <v>1</v>
      </c>
      <c r="J77" s="13">
        <f t="shared" si="35"/>
        <v>0</v>
      </c>
      <c r="K77" s="13" t="b">
        <f t="shared" si="36"/>
        <v>0</v>
      </c>
      <c r="L77" s="59" t="str">
        <f t="shared" si="37"/>
        <v/>
      </c>
      <c r="M77" s="10"/>
      <c r="N77" s="8"/>
      <c r="O77" s="9" t="str">
        <f>IF(ISBLANK($N77),"",VLOOKUP($N77,List!$B$1:$F$2000,2,0))</f>
        <v/>
      </c>
      <c r="P77" s="10" t="str">
        <f>IF(ISBLANK($N77),"",VLOOKUP($N77,List!$B$1:$F$2000,3,0))</f>
        <v/>
      </c>
      <c r="Q77" s="10" t="str">
        <f>IF(ISBLANK($N77),"",VLOOKUP($N77,List!$B$1:$F$2000,4,0))</f>
        <v/>
      </c>
      <c r="R77" s="11" t="str">
        <f>IF(ISBLANK($N77),"",VLOOKUP($N77,List!$B$1:$F$2000,5,0))</f>
        <v/>
      </c>
      <c r="S77" s="61" t="str">
        <f t="shared" si="38"/>
        <v/>
      </c>
      <c r="T77" s="16" t="str">
        <f t="shared" si="39"/>
        <v/>
      </c>
      <c r="U77" s="7"/>
      <c r="V77" t="s">
        <v>26</v>
      </c>
      <c r="X77" s="39"/>
    </row>
    <row r="78" spans="1:24" x14ac:dyDescent="0.2">
      <c r="A78" s="13">
        <f t="shared" si="26"/>
        <v>9</v>
      </c>
      <c r="B78" s="13">
        <f t="shared" si="27"/>
        <v>9</v>
      </c>
      <c r="C78" s="13">
        <f t="shared" si="28"/>
        <v>6</v>
      </c>
      <c r="D78" s="13">
        <f t="shared" si="29"/>
        <v>13</v>
      </c>
      <c r="E78" s="13">
        <f t="shared" si="30"/>
        <v>7</v>
      </c>
      <c r="F78" s="13">
        <f t="shared" si="31"/>
        <v>6</v>
      </c>
      <c r="G78" s="13">
        <f t="shared" si="32"/>
        <v>0</v>
      </c>
      <c r="H78" s="13">
        <f t="shared" si="33"/>
        <v>0</v>
      </c>
      <c r="I78" s="13">
        <f t="shared" si="34"/>
        <v>1</v>
      </c>
      <c r="J78" s="13">
        <f t="shared" si="35"/>
        <v>0</v>
      </c>
      <c r="K78" s="13" t="b">
        <f t="shared" si="36"/>
        <v>0</v>
      </c>
      <c r="L78" s="59" t="str">
        <f t="shared" si="37"/>
        <v/>
      </c>
      <c r="M78" s="10"/>
      <c r="N78" s="8"/>
      <c r="O78" s="9" t="str">
        <f>IF(ISBLANK($N78),"",VLOOKUP($N78,List!$B$1:$F$2000,2,0))</f>
        <v/>
      </c>
      <c r="P78" s="10" t="str">
        <f>IF(ISBLANK($N78),"",VLOOKUP($N78,List!$B$1:$F$2000,3,0))</f>
        <v/>
      </c>
      <c r="Q78" s="10" t="str">
        <f>IF(ISBLANK($N78),"",VLOOKUP($N78,List!$B$1:$F$2000,4,0))</f>
        <v/>
      </c>
      <c r="R78" s="11" t="str">
        <f>IF(ISBLANK($N78),"",VLOOKUP($N78,List!$B$1:$F$2000,5,0))</f>
        <v/>
      </c>
      <c r="S78" s="61" t="str">
        <f t="shared" si="38"/>
        <v/>
      </c>
      <c r="T78" s="16" t="str">
        <f t="shared" si="39"/>
        <v/>
      </c>
      <c r="U78" s="7"/>
      <c r="V78" t="s">
        <v>26</v>
      </c>
      <c r="X78" s="39"/>
    </row>
    <row r="79" spans="1:24" x14ac:dyDescent="0.2">
      <c r="A79" s="13">
        <f t="shared" si="26"/>
        <v>9</v>
      </c>
      <c r="B79" s="13">
        <f t="shared" si="27"/>
        <v>9</v>
      </c>
      <c r="C79" s="13">
        <f t="shared" si="28"/>
        <v>6</v>
      </c>
      <c r="D79" s="13">
        <f t="shared" si="29"/>
        <v>13</v>
      </c>
      <c r="E79" s="13">
        <f t="shared" si="30"/>
        <v>7</v>
      </c>
      <c r="F79" s="13">
        <f t="shared" si="31"/>
        <v>6</v>
      </c>
      <c r="G79" s="13">
        <f t="shared" si="32"/>
        <v>0</v>
      </c>
      <c r="H79" s="13">
        <f t="shared" si="33"/>
        <v>0</v>
      </c>
      <c r="I79" s="13">
        <f t="shared" si="34"/>
        <v>1</v>
      </c>
      <c r="J79" s="13">
        <f t="shared" si="35"/>
        <v>0</v>
      </c>
      <c r="K79" s="13" t="b">
        <f t="shared" si="36"/>
        <v>0</v>
      </c>
      <c r="L79" s="59" t="str">
        <f t="shared" si="37"/>
        <v/>
      </c>
      <c r="M79" s="10"/>
      <c r="N79" s="8"/>
      <c r="O79" s="9" t="str">
        <f>IF(ISBLANK($N79),"",VLOOKUP($N79,List!$B$1:$F$2000,2,0))</f>
        <v/>
      </c>
      <c r="P79" s="10" t="str">
        <f>IF(ISBLANK($N79),"",VLOOKUP($N79,List!$B$1:$F$2000,3,0))</f>
        <v/>
      </c>
      <c r="Q79" s="10" t="str">
        <f>IF(ISBLANK($N79),"",VLOOKUP($N79,List!$B$1:$F$2000,4,0))</f>
        <v/>
      </c>
      <c r="R79" s="11" t="str">
        <f>IF(ISBLANK($N79),"",VLOOKUP($N79,List!$B$1:$F$2000,5,0))</f>
        <v/>
      </c>
      <c r="S79" s="61" t="str">
        <f t="shared" si="38"/>
        <v/>
      </c>
      <c r="T79" s="16" t="str">
        <f t="shared" si="39"/>
        <v/>
      </c>
      <c r="U79" s="7"/>
      <c r="V79" t="s">
        <v>26</v>
      </c>
      <c r="X79" s="39"/>
    </row>
    <row r="80" spans="1:24" x14ac:dyDescent="0.2">
      <c r="A80" s="13">
        <f t="shared" si="26"/>
        <v>9</v>
      </c>
      <c r="B80" s="13">
        <f t="shared" si="27"/>
        <v>9</v>
      </c>
      <c r="C80" s="13">
        <f t="shared" si="28"/>
        <v>6</v>
      </c>
      <c r="D80" s="13">
        <f t="shared" si="29"/>
        <v>13</v>
      </c>
      <c r="E80" s="13">
        <f t="shared" si="30"/>
        <v>7</v>
      </c>
      <c r="F80" s="13">
        <f t="shared" si="31"/>
        <v>6</v>
      </c>
      <c r="G80" s="13">
        <f t="shared" si="32"/>
        <v>0</v>
      </c>
      <c r="H80" s="13">
        <f t="shared" si="33"/>
        <v>0</v>
      </c>
      <c r="I80" s="13">
        <f t="shared" si="34"/>
        <v>1</v>
      </c>
      <c r="J80" s="13">
        <f t="shared" si="35"/>
        <v>0</v>
      </c>
      <c r="K80" s="13" t="b">
        <f t="shared" si="36"/>
        <v>0</v>
      </c>
      <c r="L80" s="59" t="str">
        <f t="shared" si="37"/>
        <v/>
      </c>
      <c r="M80" s="10"/>
      <c r="N80" s="8"/>
      <c r="O80" s="9" t="str">
        <f>IF(ISBLANK($N80),"",VLOOKUP($N80,List!$B$1:$F$2000,2,0))</f>
        <v/>
      </c>
      <c r="P80" s="10" t="str">
        <f>IF(ISBLANK($N80),"",VLOOKUP($N80,List!$B$1:$F$2000,3,0))</f>
        <v/>
      </c>
      <c r="Q80" s="10" t="str">
        <f>IF(ISBLANK($N80),"",VLOOKUP($N80,List!$B$1:$F$2000,4,0))</f>
        <v/>
      </c>
      <c r="R80" s="11" t="str">
        <f>IF(ISBLANK($N80),"",VLOOKUP($N80,List!$B$1:$F$2000,5,0))</f>
        <v/>
      </c>
      <c r="S80" s="61" t="str">
        <f t="shared" si="38"/>
        <v/>
      </c>
      <c r="T80" s="16" t="str">
        <f t="shared" si="39"/>
        <v/>
      </c>
      <c r="U80" s="7"/>
      <c r="V80" t="s">
        <v>26</v>
      </c>
      <c r="X80" s="39"/>
    </row>
    <row r="81" spans="1:24" x14ac:dyDescent="0.2">
      <c r="A81" s="13">
        <f t="shared" si="26"/>
        <v>9</v>
      </c>
      <c r="B81" s="13">
        <f t="shared" si="27"/>
        <v>9</v>
      </c>
      <c r="C81" s="13">
        <f t="shared" si="28"/>
        <v>6</v>
      </c>
      <c r="D81" s="13">
        <f t="shared" si="29"/>
        <v>13</v>
      </c>
      <c r="E81" s="13">
        <f t="shared" si="30"/>
        <v>7</v>
      </c>
      <c r="F81" s="13">
        <f t="shared" si="31"/>
        <v>6</v>
      </c>
      <c r="G81" s="13">
        <f t="shared" si="32"/>
        <v>0</v>
      </c>
      <c r="H81" s="13">
        <f t="shared" si="33"/>
        <v>0</v>
      </c>
      <c r="I81" s="13">
        <f t="shared" si="34"/>
        <v>1</v>
      </c>
      <c r="J81" s="13">
        <f t="shared" si="35"/>
        <v>0</v>
      </c>
      <c r="K81" s="13" t="b">
        <f t="shared" si="36"/>
        <v>0</v>
      </c>
      <c r="L81" s="59" t="str">
        <f t="shared" si="37"/>
        <v/>
      </c>
      <c r="M81" s="10"/>
      <c r="N81" s="8"/>
      <c r="O81" s="9" t="str">
        <f>IF(ISBLANK($N81),"",VLOOKUP($N81,List!$B$1:$F$2000,2,0))</f>
        <v/>
      </c>
      <c r="P81" s="10" t="str">
        <f>IF(ISBLANK($N81),"",VLOOKUP($N81,List!$B$1:$F$2000,3,0))</f>
        <v/>
      </c>
      <c r="Q81" s="10" t="str">
        <f>IF(ISBLANK($N81),"",VLOOKUP($N81,List!$B$1:$F$2000,4,0))</f>
        <v/>
      </c>
      <c r="R81" s="11" t="str">
        <f>IF(ISBLANK($N81),"",VLOOKUP($N81,List!$B$1:$F$2000,5,0))</f>
        <v/>
      </c>
      <c r="S81" s="61" t="str">
        <f t="shared" si="38"/>
        <v/>
      </c>
      <c r="T81" s="16" t="str">
        <f t="shared" si="39"/>
        <v/>
      </c>
      <c r="U81" s="7"/>
      <c r="V81" t="s">
        <v>26</v>
      </c>
      <c r="X81" s="39"/>
    </row>
    <row r="82" spans="1:24" x14ac:dyDescent="0.2">
      <c r="A82" s="13">
        <f t="shared" si="26"/>
        <v>9</v>
      </c>
      <c r="B82" s="13">
        <f t="shared" si="27"/>
        <v>9</v>
      </c>
      <c r="C82" s="13">
        <f t="shared" si="28"/>
        <v>6</v>
      </c>
      <c r="D82" s="13">
        <f t="shared" si="29"/>
        <v>13</v>
      </c>
      <c r="E82" s="13">
        <f t="shared" si="30"/>
        <v>7</v>
      </c>
      <c r="F82" s="13">
        <f t="shared" si="31"/>
        <v>6</v>
      </c>
      <c r="G82" s="13">
        <f t="shared" si="32"/>
        <v>0</v>
      </c>
      <c r="H82" s="13">
        <f t="shared" si="33"/>
        <v>0</v>
      </c>
      <c r="I82" s="13">
        <f t="shared" si="34"/>
        <v>1</v>
      </c>
      <c r="J82" s="13">
        <f t="shared" si="35"/>
        <v>0</v>
      </c>
      <c r="K82" s="13" t="b">
        <f t="shared" si="36"/>
        <v>0</v>
      </c>
      <c r="L82" s="59" t="str">
        <f t="shared" si="37"/>
        <v/>
      </c>
      <c r="M82" s="10"/>
      <c r="N82" s="8"/>
      <c r="O82" s="9" t="str">
        <f>IF(ISBLANK($N82),"",VLOOKUP($N82,List!$B$1:$F$2000,2,0))</f>
        <v/>
      </c>
      <c r="P82" s="10" t="str">
        <f>IF(ISBLANK($N82),"",VLOOKUP($N82,List!$B$1:$F$2000,3,0))</f>
        <v/>
      </c>
      <c r="Q82" s="10" t="str">
        <f>IF(ISBLANK($N82),"",VLOOKUP($N82,List!$B$1:$F$2000,4,0))</f>
        <v/>
      </c>
      <c r="R82" s="11" t="str">
        <f>IF(ISBLANK($N82),"",VLOOKUP($N82,List!$B$1:$F$2000,5,0))</f>
        <v/>
      </c>
      <c r="S82" s="61" t="str">
        <f t="shared" si="38"/>
        <v/>
      </c>
      <c r="T82" s="16" t="str">
        <f t="shared" si="39"/>
        <v/>
      </c>
      <c r="U82" s="7"/>
      <c r="V82" t="s">
        <v>26</v>
      </c>
      <c r="X82" s="39"/>
    </row>
    <row r="83" spans="1:24" x14ac:dyDescent="0.2">
      <c r="A83" s="13">
        <f t="shared" si="26"/>
        <v>9</v>
      </c>
      <c r="B83" s="13">
        <f t="shared" si="27"/>
        <v>9</v>
      </c>
      <c r="C83" s="13">
        <f t="shared" si="28"/>
        <v>6</v>
      </c>
      <c r="D83" s="13">
        <f t="shared" si="29"/>
        <v>13</v>
      </c>
      <c r="E83" s="13">
        <f t="shared" si="30"/>
        <v>7</v>
      </c>
      <c r="F83" s="13">
        <f t="shared" si="31"/>
        <v>6</v>
      </c>
      <c r="G83" s="13">
        <f t="shared" si="32"/>
        <v>0</v>
      </c>
      <c r="H83" s="13">
        <f t="shared" si="33"/>
        <v>0</v>
      </c>
      <c r="I83" s="13">
        <f t="shared" si="34"/>
        <v>1</v>
      </c>
      <c r="J83" s="13">
        <f t="shared" si="35"/>
        <v>0</v>
      </c>
      <c r="K83" s="13" t="b">
        <f t="shared" si="36"/>
        <v>0</v>
      </c>
      <c r="L83" s="59" t="str">
        <f t="shared" si="37"/>
        <v/>
      </c>
      <c r="M83" s="10"/>
      <c r="N83" s="8"/>
      <c r="O83" s="9" t="str">
        <f>IF(ISBLANK($N83),"",VLOOKUP($N83,List!$B$1:$F$2000,2,0))</f>
        <v/>
      </c>
      <c r="P83" s="10" t="str">
        <f>IF(ISBLANK($N83),"",VLOOKUP($N83,List!$B$1:$F$2000,3,0))</f>
        <v/>
      </c>
      <c r="Q83" s="10" t="str">
        <f>IF(ISBLANK($N83),"",VLOOKUP($N83,List!$B$1:$F$2000,4,0))</f>
        <v/>
      </c>
      <c r="R83" s="11" t="str">
        <f>IF(ISBLANK($N83),"",VLOOKUP($N83,List!$B$1:$F$2000,5,0))</f>
        <v/>
      </c>
      <c r="S83" s="61" t="str">
        <f t="shared" si="38"/>
        <v/>
      </c>
      <c r="T83" s="16" t="str">
        <f t="shared" si="39"/>
        <v/>
      </c>
      <c r="U83" s="7"/>
      <c r="V83" t="s">
        <v>26</v>
      </c>
      <c r="X83" s="39"/>
    </row>
    <row r="84" spans="1:24" x14ac:dyDescent="0.2">
      <c r="A84" s="13">
        <f t="shared" si="26"/>
        <v>9</v>
      </c>
      <c r="B84" s="13">
        <f t="shared" si="27"/>
        <v>9</v>
      </c>
      <c r="C84" s="13">
        <f t="shared" si="28"/>
        <v>6</v>
      </c>
      <c r="D84" s="13">
        <f t="shared" si="29"/>
        <v>13</v>
      </c>
      <c r="E84" s="13">
        <f t="shared" si="30"/>
        <v>7</v>
      </c>
      <c r="F84" s="13">
        <f t="shared" si="31"/>
        <v>6</v>
      </c>
      <c r="G84" s="13">
        <f t="shared" si="32"/>
        <v>0</v>
      </c>
      <c r="H84" s="13">
        <f t="shared" si="33"/>
        <v>0</v>
      </c>
      <c r="I84" s="13">
        <f t="shared" si="34"/>
        <v>1</v>
      </c>
      <c r="J84" s="13">
        <f t="shared" si="35"/>
        <v>0</v>
      </c>
      <c r="K84" s="13" t="b">
        <f t="shared" si="36"/>
        <v>0</v>
      </c>
      <c r="L84" s="59" t="str">
        <f t="shared" si="37"/>
        <v/>
      </c>
      <c r="M84" s="10"/>
      <c r="N84" s="8"/>
      <c r="O84" s="9" t="str">
        <f>IF(ISBLANK($N84),"",VLOOKUP($N84,List!$B$1:$F$2000,2,0))</f>
        <v/>
      </c>
      <c r="P84" s="10" t="str">
        <f>IF(ISBLANK($N84),"",VLOOKUP($N84,List!$B$1:$F$2000,3,0))</f>
        <v/>
      </c>
      <c r="Q84" s="10" t="str">
        <f>IF(ISBLANK($N84),"",VLOOKUP($N84,List!$B$1:$F$2000,4,0))</f>
        <v/>
      </c>
      <c r="R84" s="11" t="str">
        <f>IF(ISBLANK($N84),"",VLOOKUP($N84,List!$B$1:$F$2000,5,0))</f>
        <v/>
      </c>
      <c r="S84" s="61" t="str">
        <f t="shared" si="38"/>
        <v/>
      </c>
      <c r="T84" s="16" t="str">
        <f t="shared" si="39"/>
        <v/>
      </c>
      <c r="U84" s="7"/>
      <c r="V84" t="s">
        <v>26</v>
      </c>
      <c r="X84" s="39"/>
    </row>
    <row r="85" spans="1:24" x14ac:dyDescent="0.2">
      <c r="A85" s="13">
        <f t="shared" si="26"/>
        <v>9</v>
      </c>
      <c r="B85" s="13">
        <f t="shared" si="27"/>
        <v>9</v>
      </c>
      <c r="C85" s="13">
        <f t="shared" si="28"/>
        <v>6</v>
      </c>
      <c r="D85" s="13">
        <f t="shared" si="29"/>
        <v>13</v>
      </c>
      <c r="E85" s="13">
        <f t="shared" si="30"/>
        <v>7</v>
      </c>
      <c r="F85" s="13">
        <f t="shared" si="31"/>
        <v>6</v>
      </c>
      <c r="G85" s="13">
        <f t="shared" si="32"/>
        <v>0</v>
      </c>
      <c r="H85" s="13">
        <f t="shared" si="33"/>
        <v>0</v>
      </c>
      <c r="I85" s="13">
        <f t="shared" si="34"/>
        <v>1</v>
      </c>
      <c r="J85" s="13">
        <f t="shared" si="35"/>
        <v>0</v>
      </c>
      <c r="K85" s="13" t="b">
        <f t="shared" si="36"/>
        <v>0</v>
      </c>
      <c r="L85" s="59" t="str">
        <f t="shared" si="37"/>
        <v/>
      </c>
      <c r="M85" s="10"/>
      <c r="N85" s="8"/>
      <c r="O85" s="9" t="str">
        <f>IF(ISBLANK($N85),"",VLOOKUP($N85,List!$B$1:$F$2000,2,0))</f>
        <v/>
      </c>
      <c r="P85" s="10" t="str">
        <f>IF(ISBLANK($N85),"",VLOOKUP($N85,List!$B$1:$F$2000,3,0))</f>
        <v/>
      </c>
      <c r="Q85" s="10" t="str">
        <f>IF(ISBLANK($N85),"",VLOOKUP($N85,List!$B$1:$F$2000,4,0))</f>
        <v/>
      </c>
      <c r="R85" s="11" t="str">
        <f>IF(ISBLANK($N85),"",VLOOKUP($N85,List!$B$1:$F$2000,5,0))</f>
        <v/>
      </c>
      <c r="S85" s="61" t="str">
        <f t="shared" si="38"/>
        <v/>
      </c>
      <c r="T85" s="16" t="str">
        <f t="shared" si="39"/>
        <v/>
      </c>
      <c r="U85" s="7"/>
      <c r="V85" t="s">
        <v>26</v>
      </c>
      <c r="X85" s="39"/>
    </row>
    <row r="86" spans="1:24" x14ac:dyDescent="0.2">
      <c r="A86" s="13">
        <f t="shared" si="26"/>
        <v>9</v>
      </c>
      <c r="B86" s="13">
        <f t="shared" si="27"/>
        <v>9</v>
      </c>
      <c r="C86" s="13">
        <f t="shared" si="28"/>
        <v>6</v>
      </c>
      <c r="D86" s="13">
        <f t="shared" si="29"/>
        <v>13</v>
      </c>
      <c r="E86" s="13">
        <f t="shared" si="30"/>
        <v>7</v>
      </c>
      <c r="F86" s="13">
        <f t="shared" si="31"/>
        <v>6</v>
      </c>
      <c r="G86" s="13">
        <f t="shared" si="32"/>
        <v>0</v>
      </c>
      <c r="H86" s="13">
        <f t="shared" si="33"/>
        <v>0</v>
      </c>
      <c r="I86" s="13">
        <f t="shared" si="34"/>
        <v>1</v>
      </c>
      <c r="J86" s="13">
        <f t="shared" si="35"/>
        <v>0</v>
      </c>
      <c r="K86" s="13" t="b">
        <f t="shared" si="36"/>
        <v>0</v>
      </c>
      <c r="L86" s="59" t="str">
        <f t="shared" si="37"/>
        <v/>
      </c>
      <c r="M86" s="10"/>
      <c r="N86" s="8"/>
      <c r="O86" s="9" t="str">
        <f>IF(ISBLANK($N86),"",VLOOKUP($N86,List!$B$1:$F$2000,2,0))</f>
        <v/>
      </c>
      <c r="P86" s="10" t="str">
        <f>IF(ISBLANK($N86),"",VLOOKUP($N86,List!$B$1:$F$2000,3,0))</f>
        <v/>
      </c>
      <c r="Q86" s="10" t="str">
        <f>IF(ISBLANK($N86),"",VLOOKUP($N86,List!$B$1:$F$2000,4,0))</f>
        <v/>
      </c>
      <c r="R86" s="11" t="str">
        <f>IF(ISBLANK($N86),"",VLOOKUP($N86,List!$B$1:$F$2000,5,0))</f>
        <v/>
      </c>
      <c r="S86" s="61" t="str">
        <f t="shared" si="38"/>
        <v/>
      </c>
      <c r="T86" s="16" t="str">
        <f t="shared" si="39"/>
        <v/>
      </c>
      <c r="U86" s="7"/>
      <c r="V86" t="s">
        <v>26</v>
      </c>
      <c r="X86" s="39"/>
    </row>
    <row r="87" spans="1:24" x14ac:dyDescent="0.2">
      <c r="A87" s="13">
        <f t="shared" si="26"/>
        <v>9</v>
      </c>
      <c r="B87" s="13">
        <f t="shared" si="27"/>
        <v>9</v>
      </c>
      <c r="C87" s="13">
        <f t="shared" si="28"/>
        <v>6</v>
      </c>
      <c r="D87" s="13">
        <f t="shared" si="29"/>
        <v>13</v>
      </c>
      <c r="E87" s="13">
        <f t="shared" si="30"/>
        <v>7</v>
      </c>
      <c r="F87" s="13">
        <f t="shared" si="31"/>
        <v>6</v>
      </c>
      <c r="G87" s="13">
        <f t="shared" si="32"/>
        <v>0</v>
      </c>
      <c r="H87" s="13">
        <f t="shared" si="33"/>
        <v>0</v>
      </c>
      <c r="I87" s="13">
        <f t="shared" si="34"/>
        <v>1</v>
      </c>
      <c r="J87" s="13">
        <f t="shared" si="35"/>
        <v>0</v>
      </c>
      <c r="K87" s="13" t="b">
        <f t="shared" si="36"/>
        <v>0</v>
      </c>
      <c r="L87" s="59" t="str">
        <f t="shared" si="37"/>
        <v/>
      </c>
      <c r="M87" s="10"/>
      <c r="N87" s="8"/>
      <c r="O87" s="9" t="str">
        <f>IF(ISBLANK($N87),"",VLOOKUP($N87,List!$B$1:$F$2000,2,0))</f>
        <v/>
      </c>
      <c r="P87" s="10" t="str">
        <f>IF(ISBLANK($N87),"",VLOOKUP($N87,List!$B$1:$F$2000,3,0))</f>
        <v/>
      </c>
      <c r="Q87" s="10" t="str">
        <f>IF(ISBLANK($N87),"",VLOOKUP($N87,List!$B$1:$F$2000,4,0))</f>
        <v/>
      </c>
      <c r="R87" s="11" t="str">
        <f>IF(ISBLANK($N87),"",VLOOKUP($N87,List!$B$1:$F$2000,5,0))</f>
        <v/>
      </c>
      <c r="S87" s="61" t="str">
        <f t="shared" si="38"/>
        <v/>
      </c>
      <c r="T87" s="16" t="str">
        <f t="shared" si="39"/>
        <v/>
      </c>
      <c r="U87" s="7"/>
      <c r="V87" t="s">
        <v>26</v>
      </c>
      <c r="X87" s="39"/>
    </row>
    <row r="88" spans="1:24" x14ac:dyDescent="0.2">
      <c r="A88" s="13">
        <f t="shared" si="26"/>
        <v>9</v>
      </c>
      <c r="B88" s="13">
        <f t="shared" si="27"/>
        <v>9</v>
      </c>
      <c r="C88" s="13">
        <f t="shared" si="28"/>
        <v>6</v>
      </c>
      <c r="D88" s="13">
        <f t="shared" si="29"/>
        <v>13</v>
      </c>
      <c r="E88" s="13">
        <f t="shared" si="30"/>
        <v>7</v>
      </c>
      <c r="F88" s="13">
        <f t="shared" si="31"/>
        <v>6</v>
      </c>
      <c r="G88" s="13">
        <f t="shared" si="32"/>
        <v>0</v>
      </c>
      <c r="H88" s="13">
        <f t="shared" si="33"/>
        <v>0</v>
      </c>
      <c r="I88" s="13">
        <f t="shared" si="34"/>
        <v>1</v>
      </c>
      <c r="J88" s="13">
        <f t="shared" si="35"/>
        <v>0</v>
      </c>
      <c r="K88" s="13" t="b">
        <f t="shared" si="36"/>
        <v>0</v>
      </c>
      <c r="L88" s="59" t="str">
        <f t="shared" si="37"/>
        <v/>
      </c>
      <c r="M88" s="10"/>
      <c r="N88" s="8"/>
      <c r="O88" s="9" t="str">
        <f>IF(ISBLANK($N88),"",VLOOKUP($N88,List!$B$1:$F$2000,2,0))</f>
        <v/>
      </c>
      <c r="P88" s="10" t="str">
        <f>IF(ISBLANK($N88),"",VLOOKUP($N88,List!$B$1:$F$2000,3,0))</f>
        <v/>
      </c>
      <c r="Q88" s="10" t="str">
        <f>IF(ISBLANK($N88),"",VLOOKUP($N88,List!$B$1:$F$2000,4,0))</f>
        <v/>
      </c>
      <c r="R88" s="11" t="str">
        <f>IF(ISBLANK($N88),"",VLOOKUP($N88,List!$B$1:$F$2000,5,0))</f>
        <v/>
      </c>
      <c r="S88" s="61" t="str">
        <f t="shared" si="38"/>
        <v/>
      </c>
      <c r="T88" s="16" t="str">
        <f t="shared" si="39"/>
        <v/>
      </c>
      <c r="U88" s="7"/>
      <c r="V88" t="s">
        <v>26</v>
      </c>
      <c r="X88" s="39"/>
    </row>
    <row r="89" spans="1:24" x14ac:dyDescent="0.2">
      <c r="A89" s="13">
        <f t="shared" si="26"/>
        <v>9</v>
      </c>
      <c r="B89" s="13">
        <f t="shared" si="27"/>
        <v>9</v>
      </c>
      <c r="C89" s="13">
        <f t="shared" si="28"/>
        <v>6</v>
      </c>
      <c r="D89" s="13">
        <f t="shared" si="29"/>
        <v>13</v>
      </c>
      <c r="E89" s="13">
        <f t="shared" si="30"/>
        <v>7</v>
      </c>
      <c r="F89" s="13">
        <f t="shared" si="31"/>
        <v>6</v>
      </c>
      <c r="G89" s="13">
        <f t="shared" si="32"/>
        <v>0</v>
      </c>
      <c r="H89" s="13">
        <f t="shared" si="33"/>
        <v>0</v>
      </c>
      <c r="I89" s="13">
        <f t="shared" si="34"/>
        <v>1</v>
      </c>
      <c r="J89" s="13">
        <f t="shared" si="35"/>
        <v>0</v>
      </c>
      <c r="K89" s="13" t="b">
        <f t="shared" si="36"/>
        <v>0</v>
      </c>
      <c r="L89" s="59" t="str">
        <f t="shared" si="37"/>
        <v/>
      </c>
      <c r="M89" s="10"/>
      <c r="N89" s="8"/>
      <c r="O89" s="9" t="str">
        <f>IF(ISBLANK($N89),"",VLOOKUP($N89,List!$B$1:$F$2000,2,0))</f>
        <v/>
      </c>
      <c r="P89" s="10" t="str">
        <f>IF(ISBLANK($N89),"",VLOOKUP($N89,List!$B$1:$F$2000,3,0))</f>
        <v/>
      </c>
      <c r="Q89" s="10" t="str">
        <f>IF(ISBLANK($N89),"",VLOOKUP($N89,List!$B$1:$F$2000,4,0))</f>
        <v/>
      </c>
      <c r="R89" s="11" t="str">
        <f>IF(ISBLANK($N89),"",VLOOKUP($N89,List!$B$1:$F$2000,5,0))</f>
        <v/>
      </c>
      <c r="S89" s="61" t="str">
        <f t="shared" si="38"/>
        <v/>
      </c>
      <c r="T89" s="16" t="str">
        <f t="shared" si="39"/>
        <v/>
      </c>
      <c r="U89" s="7"/>
      <c r="V89" t="s">
        <v>26</v>
      </c>
      <c r="X89" s="39"/>
    </row>
    <row r="90" spans="1:24" x14ac:dyDescent="0.2">
      <c r="A90" s="13">
        <f t="shared" si="26"/>
        <v>9</v>
      </c>
      <c r="B90" s="13">
        <f t="shared" si="27"/>
        <v>9</v>
      </c>
      <c r="C90" s="13">
        <f t="shared" si="28"/>
        <v>6</v>
      </c>
      <c r="D90" s="13">
        <f t="shared" si="29"/>
        <v>13</v>
      </c>
      <c r="E90" s="13">
        <f t="shared" si="30"/>
        <v>7</v>
      </c>
      <c r="F90" s="13">
        <f t="shared" si="31"/>
        <v>6</v>
      </c>
      <c r="G90" s="13">
        <f t="shared" si="32"/>
        <v>0</v>
      </c>
      <c r="H90" s="13">
        <f t="shared" si="33"/>
        <v>0</v>
      </c>
      <c r="I90" s="13">
        <f t="shared" si="34"/>
        <v>1</v>
      </c>
      <c r="J90" s="13">
        <f t="shared" si="35"/>
        <v>0</v>
      </c>
      <c r="K90" s="13" t="b">
        <f t="shared" si="36"/>
        <v>0</v>
      </c>
      <c r="L90" s="59" t="str">
        <f t="shared" si="37"/>
        <v/>
      </c>
      <c r="M90" s="10"/>
      <c r="N90" s="8"/>
      <c r="O90" s="9" t="str">
        <f>IF(ISBLANK($N90),"",VLOOKUP($N90,List!$B$1:$F$2000,2,0))</f>
        <v/>
      </c>
      <c r="P90" s="10" t="str">
        <f>IF(ISBLANK($N90),"",VLOOKUP($N90,List!$B$1:$F$2000,3,0))</f>
        <v/>
      </c>
      <c r="Q90" s="10" t="str">
        <f>IF(ISBLANK($N90),"",VLOOKUP($N90,List!$B$1:$F$2000,4,0))</f>
        <v/>
      </c>
      <c r="R90" s="11" t="str">
        <f>IF(ISBLANK($N90),"",VLOOKUP($N90,List!$B$1:$F$2000,5,0))</f>
        <v/>
      </c>
      <c r="S90" s="61" t="str">
        <f t="shared" si="38"/>
        <v/>
      </c>
      <c r="T90" s="16" t="str">
        <f t="shared" si="39"/>
        <v/>
      </c>
      <c r="U90" s="7"/>
      <c r="V90" t="s">
        <v>26</v>
      </c>
      <c r="X90" s="39"/>
    </row>
    <row r="91" spans="1:24" x14ac:dyDescent="0.2">
      <c r="A91" s="13">
        <f t="shared" si="26"/>
        <v>9</v>
      </c>
      <c r="B91" s="13">
        <f t="shared" si="27"/>
        <v>9</v>
      </c>
      <c r="C91" s="13">
        <f t="shared" si="28"/>
        <v>6</v>
      </c>
      <c r="D91" s="13">
        <f t="shared" si="29"/>
        <v>13</v>
      </c>
      <c r="E91" s="13">
        <f t="shared" si="30"/>
        <v>7</v>
      </c>
      <c r="F91" s="13">
        <f t="shared" si="31"/>
        <v>6</v>
      </c>
      <c r="G91" s="13">
        <f t="shared" si="32"/>
        <v>0</v>
      </c>
      <c r="H91" s="13">
        <f t="shared" si="33"/>
        <v>0</v>
      </c>
      <c r="I91" s="13">
        <f t="shared" si="34"/>
        <v>1</v>
      </c>
      <c r="J91" s="13">
        <f t="shared" si="35"/>
        <v>0</v>
      </c>
      <c r="K91" s="13" t="b">
        <f t="shared" si="36"/>
        <v>0</v>
      </c>
      <c r="L91" s="59" t="str">
        <f t="shared" si="37"/>
        <v/>
      </c>
      <c r="M91" s="10"/>
      <c r="N91" s="8"/>
      <c r="O91" s="9" t="str">
        <f>IF(ISBLANK($N91),"",VLOOKUP($N91,List!$B$1:$F$2000,2,0))</f>
        <v/>
      </c>
      <c r="P91" s="10" t="str">
        <f>IF(ISBLANK($N91),"",VLOOKUP($N91,List!$B$1:$F$2000,3,0))</f>
        <v/>
      </c>
      <c r="Q91" s="10" t="str">
        <f>IF(ISBLANK($N91),"",VLOOKUP($N91,List!$B$1:$F$2000,4,0))</f>
        <v/>
      </c>
      <c r="R91" s="11" t="str">
        <f>IF(ISBLANK($N91),"",VLOOKUP($N91,List!$B$1:$F$2000,5,0))</f>
        <v/>
      </c>
      <c r="S91" s="61" t="str">
        <f t="shared" si="38"/>
        <v/>
      </c>
      <c r="T91" s="16" t="str">
        <f t="shared" si="39"/>
        <v/>
      </c>
      <c r="U91" s="7"/>
      <c r="V91" t="s">
        <v>26</v>
      </c>
      <c r="X91" s="39"/>
    </row>
    <row r="92" spans="1:24" x14ac:dyDescent="0.2">
      <c r="A92" s="13">
        <f t="shared" si="26"/>
        <v>9</v>
      </c>
      <c r="B92" s="13">
        <f t="shared" si="27"/>
        <v>9</v>
      </c>
      <c r="C92" s="13">
        <f t="shared" si="28"/>
        <v>6</v>
      </c>
      <c r="D92" s="13">
        <f t="shared" si="29"/>
        <v>13</v>
      </c>
      <c r="E92" s="13">
        <f t="shared" si="30"/>
        <v>7</v>
      </c>
      <c r="F92" s="13">
        <f t="shared" si="31"/>
        <v>6</v>
      </c>
      <c r="G92" s="13">
        <f t="shared" si="32"/>
        <v>0</v>
      </c>
      <c r="H92" s="13">
        <f t="shared" si="33"/>
        <v>0</v>
      </c>
      <c r="I92" s="13">
        <f t="shared" si="34"/>
        <v>1</v>
      </c>
      <c r="J92" s="13">
        <f t="shared" si="35"/>
        <v>0</v>
      </c>
      <c r="K92" s="13" t="b">
        <f t="shared" si="36"/>
        <v>0</v>
      </c>
      <c r="L92" s="59" t="str">
        <f t="shared" si="37"/>
        <v/>
      </c>
      <c r="M92" s="10"/>
      <c r="N92" s="8"/>
      <c r="O92" s="9" t="str">
        <f>IF(ISBLANK($N92),"",VLOOKUP($N92,List!$B$1:$F$2000,2,0))</f>
        <v/>
      </c>
      <c r="P92" s="10" t="str">
        <f>IF(ISBLANK($N92),"",VLOOKUP($N92,List!$B$1:$F$2000,3,0))</f>
        <v/>
      </c>
      <c r="Q92" s="10" t="str">
        <f>IF(ISBLANK($N92),"",VLOOKUP($N92,List!$B$1:$F$2000,4,0))</f>
        <v/>
      </c>
      <c r="R92" s="11" t="str">
        <f>IF(ISBLANK($N92),"",VLOOKUP($N92,List!$B$1:$F$2000,5,0))</f>
        <v/>
      </c>
      <c r="S92" s="61" t="str">
        <f t="shared" si="38"/>
        <v/>
      </c>
      <c r="T92" s="16" t="str">
        <f t="shared" si="39"/>
        <v/>
      </c>
      <c r="U92" s="7"/>
      <c r="V92" t="s">
        <v>26</v>
      </c>
      <c r="X92" s="39"/>
    </row>
    <row r="93" spans="1:24" x14ac:dyDescent="0.2">
      <c r="A93" s="13">
        <f t="shared" si="26"/>
        <v>9</v>
      </c>
      <c r="B93" s="13">
        <f t="shared" si="27"/>
        <v>9</v>
      </c>
      <c r="C93" s="13">
        <f t="shared" si="28"/>
        <v>6</v>
      </c>
      <c r="D93" s="13">
        <f t="shared" si="29"/>
        <v>13</v>
      </c>
      <c r="E93" s="13">
        <f t="shared" si="30"/>
        <v>7</v>
      </c>
      <c r="F93" s="13">
        <f t="shared" si="31"/>
        <v>6</v>
      </c>
      <c r="G93" s="13">
        <f t="shared" si="32"/>
        <v>0</v>
      </c>
      <c r="H93" s="13">
        <f t="shared" si="33"/>
        <v>0</v>
      </c>
      <c r="I93" s="13">
        <f t="shared" si="34"/>
        <v>1</v>
      </c>
      <c r="J93" s="13">
        <f t="shared" si="35"/>
        <v>0</v>
      </c>
      <c r="K93" s="13" t="b">
        <f t="shared" si="36"/>
        <v>0</v>
      </c>
      <c r="L93" s="59" t="str">
        <f t="shared" si="37"/>
        <v/>
      </c>
      <c r="M93" s="10"/>
      <c r="N93" s="8"/>
      <c r="O93" s="9" t="str">
        <f>IF(ISBLANK($N93),"",VLOOKUP($N93,List!$B$1:$F$2000,2,0))</f>
        <v/>
      </c>
      <c r="P93" s="10" t="str">
        <f>IF(ISBLANK($N93),"",VLOOKUP($N93,List!$B$1:$F$2000,3,0))</f>
        <v/>
      </c>
      <c r="Q93" s="10" t="str">
        <f>IF(ISBLANK($N93),"",VLOOKUP($N93,List!$B$1:$F$2000,4,0))</f>
        <v/>
      </c>
      <c r="R93" s="11" t="str">
        <f>IF(ISBLANK($N93),"",VLOOKUP($N93,List!$B$1:$F$2000,5,0))</f>
        <v/>
      </c>
      <c r="S93" s="61" t="str">
        <f t="shared" si="38"/>
        <v/>
      </c>
      <c r="T93" s="16" t="str">
        <f t="shared" si="39"/>
        <v/>
      </c>
      <c r="U93" s="7"/>
      <c r="V93" t="s">
        <v>26</v>
      </c>
      <c r="X93" s="39"/>
    </row>
    <row r="94" spans="1:24" x14ac:dyDescent="0.2">
      <c r="A94" s="13">
        <f t="shared" si="26"/>
        <v>9</v>
      </c>
      <c r="B94" s="13">
        <f t="shared" si="27"/>
        <v>9</v>
      </c>
      <c r="C94" s="13">
        <f t="shared" si="28"/>
        <v>6</v>
      </c>
      <c r="D94" s="13">
        <f t="shared" si="29"/>
        <v>13</v>
      </c>
      <c r="E94" s="13">
        <f t="shared" si="30"/>
        <v>7</v>
      </c>
      <c r="F94" s="13">
        <f t="shared" si="31"/>
        <v>6</v>
      </c>
      <c r="G94" s="13">
        <f t="shared" si="32"/>
        <v>0</v>
      </c>
      <c r="H94" s="13">
        <f t="shared" si="33"/>
        <v>0</v>
      </c>
      <c r="I94" s="13">
        <f t="shared" si="34"/>
        <v>1</v>
      </c>
      <c r="J94" s="13">
        <f t="shared" si="35"/>
        <v>0</v>
      </c>
      <c r="K94" s="13" t="b">
        <f t="shared" si="36"/>
        <v>0</v>
      </c>
      <c r="L94" s="59" t="str">
        <f t="shared" si="37"/>
        <v/>
      </c>
      <c r="M94" s="10"/>
      <c r="N94" s="8"/>
      <c r="O94" s="9" t="str">
        <f>IF(ISBLANK($N94),"",VLOOKUP($N94,List!$B$1:$F$2000,2,0))</f>
        <v/>
      </c>
      <c r="P94" s="10" t="str">
        <f>IF(ISBLANK($N94),"",VLOOKUP($N94,List!$B$1:$F$2000,3,0))</f>
        <v/>
      </c>
      <c r="Q94" s="10" t="str">
        <f>IF(ISBLANK($N94),"",VLOOKUP($N94,List!$B$1:$F$2000,4,0))</f>
        <v/>
      </c>
      <c r="R94" s="11" t="str">
        <f>IF(ISBLANK($N94),"",VLOOKUP($N94,List!$B$1:$F$2000,5,0))</f>
        <v/>
      </c>
      <c r="S94" s="61" t="str">
        <f t="shared" si="38"/>
        <v/>
      </c>
      <c r="T94" s="16" t="str">
        <f t="shared" si="39"/>
        <v/>
      </c>
      <c r="U94" s="7"/>
      <c r="V94" t="s">
        <v>26</v>
      </c>
      <c r="X94" s="39"/>
    </row>
    <row r="95" spans="1:24" x14ac:dyDescent="0.2">
      <c r="A95" s="13">
        <f t="shared" si="26"/>
        <v>9</v>
      </c>
      <c r="B95" s="13">
        <f t="shared" si="27"/>
        <v>9</v>
      </c>
      <c r="C95" s="13">
        <f t="shared" si="28"/>
        <v>6</v>
      </c>
      <c r="D95" s="13">
        <f t="shared" si="29"/>
        <v>13</v>
      </c>
      <c r="E95" s="13">
        <f t="shared" si="30"/>
        <v>7</v>
      </c>
      <c r="F95" s="13">
        <f t="shared" si="31"/>
        <v>6</v>
      </c>
      <c r="G95" s="13">
        <f t="shared" si="32"/>
        <v>0</v>
      </c>
      <c r="H95" s="13">
        <f t="shared" si="33"/>
        <v>0</v>
      </c>
      <c r="I95" s="13">
        <f t="shared" si="34"/>
        <v>1</v>
      </c>
      <c r="J95" s="13">
        <f t="shared" si="35"/>
        <v>0</v>
      </c>
      <c r="K95" s="13" t="b">
        <f t="shared" si="36"/>
        <v>0</v>
      </c>
      <c r="L95" s="59" t="str">
        <f t="shared" si="37"/>
        <v/>
      </c>
      <c r="M95" s="10"/>
      <c r="N95" s="8"/>
      <c r="O95" s="9" t="str">
        <f>IF(ISBLANK($N95),"",VLOOKUP($N95,List!$B$1:$F$2000,2,0))</f>
        <v/>
      </c>
      <c r="P95" s="10" t="str">
        <f>IF(ISBLANK($N95),"",VLOOKUP($N95,List!$B$1:$F$2000,3,0))</f>
        <v/>
      </c>
      <c r="Q95" s="10" t="str">
        <f>IF(ISBLANK($N95),"",VLOOKUP($N95,List!$B$1:$F$2000,4,0))</f>
        <v/>
      </c>
      <c r="R95" s="11" t="str">
        <f>IF(ISBLANK($N95),"",VLOOKUP($N95,List!$B$1:$F$2000,5,0))</f>
        <v/>
      </c>
      <c r="S95" s="61" t="str">
        <f t="shared" si="38"/>
        <v/>
      </c>
      <c r="T95" s="16" t="str">
        <f t="shared" si="39"/>
        <v/>
      </c>
      <c r="U95" s="7"/>
      <c r="V95" t="s">
        <v>26</v>
      </c>
      <c r="X95" s="39"/>
    </row>
    <row r="96" spans="1:24" x14ac:dyDescent="0.2">
      <c r="A96" s="13">
        <f t="shared" si="26"/>
        <v>9</v>
      </c>
      <c r="B96" s="13">
        <f t="shared" si="27"/>
        <v>9</v>
      </c>
      <c r="C96" s="13">
        <f t="shared" si="28"/>
        <v>6</v>
      </c>
      <c r="D96" s="13">
        <f t="shared" si="29"/>
        <v>13</v>
      </c>
      <c r="E96" s="13">
        <f t="shared" si="30"/>
        <v>7</v>
      </c>
      <c r="F96" s="13">
        <f t="shared" si="31"/>
        <v>6</v>
      </c>
      <c r="G96" s="13">
        <f t="shared" si="32"/>
        <v>0</v>
      </c>
      <c r="H96" s="13">
        <f t="shared" si="33"/>
        <v>0</v>
      </c>
      <c r="I96" s="13">
        <f t="shared" si="34"/>
        <v>1</v>
      </c>
      <c r="J96" s="13">
        <f t="shared" si="35"/>
        <v>0</v>
      </c>
      <c r="K96" s="13" t="b">
        <f t="shared" si="36"/>
        <v>0</v>
      </c>
      <c r="L96" s="59" t="str">
        <f t="shared" si="37"/>
        <v/>
      </c>
      <c r="M96" s="10"/>
      <c r="N96" s="8"/>
      <c r="O96" s="9" t="str">
        <f>IF(ISBLANK($N96),"",VLOOKUP($N96,List!$B$1:$F$2000,2,0))</f>
        <v/>
      </c>
      <c r="P96" s="10" t="str">
        <f>IF(ISBLANK($N96),"",VLOOKUP($N96,List!$B$1:$F$2000,3,0))</f>
        <v/>
      </c>
      <c r="Q96" s="10" t="str">
        <f>IF(ISBLANK($N96),"",VLOOKUP($N96,List!$B$1:$F$2000,4,0))</f>
        <v/>
      </c>
      <c r="R96" s="11" t="str">
        <f>IF(ISBLANK($N96),"",VLOOKUP($N96,List!$B$1:$F$2000,5,0))</f>
        <v/>
      </c>
      <c r="S96" s="61" t="str">
        <f t="shared" si="38"/>
        <v/>
      </c>
      <c r="T96" s="16" t="str">
        <f t="shared" si="39"/>
        <v/>
      </c>
      <c r="U96" s="7"/>
      <c r="V96" t="s">
        <v>26</v>
      </c>
      <c r="X96" s="39"/>
    </row>
    <row r="97" spans="1:24" x14ac:dyDescent="0.2">
      <c r="A97" s="13">
        <f t="shared" si="26"/>
        <v>9</v>
      </c>
      <c r="B97" s="13">
        <f t="shared" si="27"/>
        <v>9</v>
      </c>
      <c r="C97" s="13">
        <f t="shared" si="28"/>
        <v>6</v>
      </c>
      <c r="D97" s="13">
        <f t="shared" si="29"/>
        <v>13</v>
      </c>
      <c r="E97" s="13">
        <f t="shared" si="30"/>
        <v>7</v>
      </c>
      <c r="F97" s="13">
        <f t="shared" si="31"/>
        <v>6</v>
      </c>
      <c r="G97" s="13">
        <f t="shared" si="32"/>
        <v>0</v>
      </c>
      <c r="H97" s="13">
        <f t="shared" si="33"/>
        <v>0</v>
      </c>
      <c r="I97" s="13">
        <f t="shared" si="34"/>
        <v>1</v>
      </c>
      <c r="J97" s="13">
        <f t="shared" si="35"/>
        <v>0</v>
      </c>
      <c r="K97" s="13" t="b">
        <f t="shared" si="36"/>
        <v>0</v>
      </c>
      <c r="L97" s="59" t="str">
        <f t="shared" si="37"/>
        <v/>
      </c>
      <c r="M97" s="10"/>
      <c r="N97" s="8"/>
      <c r="O97" s="9" t="str">
        <f>IF(ISBLANK($N97),"",VLOOKUP($N97,List!$B$1:$F$2000,2,0))</f>
        <v/>
      </c>
      <c r="P97" s="10" t="str">
        <f>IF(ISBLANK($N97),"",VLOOKUP($N97,List!$B$1:$F$2000,3,0))</f>
        <v/>
      </c>
      <c r="Q97" s="10" t="str">
        <f>IF(ISBLANK($N97),"",VLOOKUP($N97,List!$B$1:$F$2000,4,0))</f>
        <v/>
      </c>
      <c r="R97" s="11" t="str">
        <f>IF(ISBLANK($N97),"",VLOOKUP($N97,List!$B$1:$F$2000,5,0))</f>
        <v/>
      </c>
      <c r="S97" s="61" t="str">
        <f t="shared" si="38"/>
        <v/>
      </c>
      <c r="T97" s="16" t="str">
        <f t="shared" si="39"/>
        <v/>
      </c>
      <c r="U97" s="7"/>
      <c r="V97" t="s">
        <v>26</v>
      </c>
      <c r="X97" s="39"/>
    </row>
    <row r="98" spans="1:24" x14ac:dyDescent="0.2">
      <c r="A98" s="13">
        <f t="shared" si="26"/>
        <v>9</v>
      </c>
      <c r="B98" s="13">
        <f t="shared" si="27"/>
        <v>9</v>
      </c>
      <c r="C98" s="13">
        <f t="shared" si="28"/>
        <v>6</v>
      </c>
      <c r="D98" s="13">
        <f t="shared" si="29"/>
        <v>13</v>
      </c>
      <c r="E98" s="13">
        <f t="shared" si="30"/>
        <v>7</v>
      </c>
      <c r="F98" s="13">
        <f t="shared" si="31"/>
        <v>6</v>
      </c>
      <c r="G98" s="13">
        <f t="shared" si="32"/>
        <v>0</v>
      </c>
      <c r="H98" s="13">
        <f t="shared" si="33"/>
        <v>0</v>
      </c>
      <c r="I98" s="13">
        <f t="shared" si="34"/>
        <v>1</v>
      </c>
      <c r="J98" s="13">
        <f t="shared" si="35"/>
        <v>0</v>
      </c>
      <c r="K98" s="13" t="b">
        <f t="shared" si="36"/>
        <v>0</v>
      </c>
      <c r="L98" s="59" t="str">
        <f t="shared" si="37"/>
        <v/>
      </c>
      <c r="M98" s="10"/>
      <c r="N98" s="8"/>
      <c r="O98" s="9" t="str">
        <f>IF(ISBLANK($N98),"",VLOOKUP($N98,List!$B$1:$F$2000,2,0))</f>
        <v/>
      </c>
      <c r="P98" s="10" t="str">
        <f>IF(ISBLANK($N98),"",VLOOKUP($N98,List!$B$1:$F$2000,3,0))</f>
        <v/>
      </c>
      <c r="Q98" s="10" t="str">
        <f>IF(ISBLANK($N98),"",VLOOKUP($N98,List!$B$1:$F$2000,4,0))</f>
        <v/>
      </c>
      <c r="R98" s="11" t="str">
        <f>IF(ISBLANK($N98),"",VLOOKUP($N98,List!$B$1:$F$2000,5,0))</f>
        <v/>
      </c>
      <c r="S98" s="61" t="str">
        <f t="shared" si="38"/>
        <v/>
      </c>
      <c r="T98" s="16" t="str">
        <f t="shared" si="39"/>
        <v/>
      </c>
      <c r="U98" s="7"/>
      <c r="V98" t="s">
        <v>26</v>
      </c>
      <c r="X98" s="39"/>
    </row>
    <row r="99" spans="1:24" x14ac:dyDescent="0.2">
      <c r="A99" s="13">
        <f t="shared" ref="A99:A130" si="40">IF(AND($K99,$S99&lt;$C$1,$S99&gt;=$A$1,$R99="Мужской"),A98+1,A98)</f>
        <v>9</v>
      </c>
      <c r="B99" s="13">
        <f t="shared" ref="B99:B130" si="41">IF(AND($K99,$S99&lt;$D$1,$S99&gt;=$B$1,$R99="Женский"),B98+1,B98)</f>
        <v>9</v>
      </c>
      <c r="C99" s="13">
        <f t="shared" ref="C99:C130" si="42">IF(AND($K99,$S99&lt;$E$1,$S99&gt;=$C$1,$R99="Мужской"),C98+1,C98)</f>
        <v>6</v>
      </c>
      <c r="D99" s="13">
        <f t="shared" ref="D99:D130" si="43">IF(AND($K99,$S99&lt;$F$1,$S99&gt;=$D$1,$R99="Женский"),D98+1,D98)</f>
        <v>13</v>
      </c>
      <c r="E99" s="13">
        <f t="shared" ref="E99:E130" si="44">IF(AND($K99,$S99&lt;$G$1,$S99&gt;=$E$1,$R99="Мужской"),E98+1,E98)</f>
        <v>7</v>
      </c>
      <c r="F99" s="13">
        <f t="shared" ref="F99:F130" si="45">IF(AND($K99,$S99&lt;$H$1,$S99&gt;=$F$1,$R99="Женский"),F98+1,F98)</f>
        <v>6</v>
      </c>
      <c r="G99" s="13">
        <f t="shared" ref="G99:G130" si="46">IF(AND($K99,$S99&lt;$I$1,$S99&gt;=$G$1,$R99="Мужской"),G98+1,G98)</f>
        <v>0</v>
      </c>
      <c r="H99" s="13">
        <f t="shared" ref="H99:H130" si="47">IF(AND($K99,$S99&lt;$J$1,$S99&gt;=$H$1,$R99="Женский"),H98+1,H98)</f>
        <v>0</v>
      </c>
      <c r="I99" s="13">
        <f t="shared" ref="I99:I130" si="48">IF(AND($K99,$S99&lt;$K$1,$S99&gt;=$I$1,$R99="Мужской"),I98+1,I98)</f>
        <v>1</v>
      </c>
      <c r="J99" s="13">
        <f t="shared" ref="J99:J130" si="49">IF(AND($K99,$S99&lt;$K137,$S99&gt;=$J$1,$R99="Женский"),J98+1,J98)</f>
        <v>0</v>
      </c>
      <c r="K99" s="13" t="b">
        <f t="shared" si="36"/>
        <v>0</v>
      </c>
      <c r="L99" s="59" t="str">
        <f t="shared" si="37"/>
        <v/>
      </c>
      <c r="M99" s="10"/>
      <c r="N99" s="8"/>
      <c r="O99" s="9" t="str">
        <f>IF(ISBLANK($N99),"",VLOOKUP($N99,List!$B$1:$F$2000,2,0))</f>
        <v/>
      </c>
      <c r="P99" s="10" t="str">
        <f>IF(ISBLANK($N99),"",VLOOKUP($N99,List!$B$1:$F$2000,3,0))</f>
        <v/>
      </c>
      <c r="Q99" s="10" t="str">
        <f>IF(ISBLANK($N99),"",VLOOKUP($N99,List!$B$1:$F$2000,4,0))</f>
        <v/>
      </c>
      <c r="R99" s="11" t="str">
        <f>IF(ISBLANK($N99),"",VLOOKUP($N99,List!$B$1:$F$2000,5,0))</f>
        <v/>
      </c>
      <c r="S99" s="61" t="str">
        <f t="shared" si="38"/>
        <v/>
      </c>
      <c r="T99" s="16" t="str">
        <f t="shared" si="39"/>
        <v/>
      </c>
      <c r="U99" s="7"/>
      <c r="V99" t="s">
        <v>26</v>
      </c>
      <c r="X99" s="39"/>
    </row>
    <row r="100" spans="1:24" x14ac:dyDescent="0.2">
      <c r="A100" s="13">
        <f t="shared" si="40"/>
        <v>9</v>
      </c>
      <c r="B100" s="13">
        <f t="shared" si="41"/>
        <v>9</v>
      </c>
      <c r="C100" s="13">
        <f t="shared" si="42"/>
        <v>6</v>
      </c>
      <c r="D100" s="13">
        <f t="shared" si="43"/>
        <v>13</v>
      </c>
      <c r="E100" s="13">
        <f t="shared" si="44"/>
        <v>7</v>
      </c>
      <c r="F100" s="13">
        <f t="shared" si="45"/>
        <v>6</v>
      </c>
      <c r="G100" s="13">
        <f t="shared" si="46"/>
        <v>0</v>
      </c>
      <c r="H100" s="13">
        <f t="shared" si="47"/>
        <v>0</v>
      </c>
      <c r="I100" s="13">
        <f t="shared" si="48"/>
        <v>1</v>
      </c>
      <c r="J100" s="13">
        <f t="shared" si="49"/>
        <v>0</v>
      </c>
      <c r="K100" s="13" t="b">
        <f t="shared" si="36"/>
        <v>0</v>
      </c>
      <c r="L100" s="59" t="str">
        <f t="shared" si="37"/>
        <v/>
      </c>
      <c r="M100" s="10"/>
      <c r="N100" s="8"/>
      <c r="O100" s="9" t="str">
        <f>IF(ISBLANK($N100),"",VLOOKUP($N100,List!$B$1:$F$2000,2,0))</f>
        <v/>
      </c>
      <c r="P100" s="10" t="str">
        <f>IF(ISBLANK($N100),"",VLOOKUP($N100,List!$B$1:$F$2000,3,0))</f>
        <v/>
      </c>
      <c r="Q100" s="10" t="str">
        <f>IF(ISBLANK($N100),"",VLOOKUP($N100,List!$B$1:$F$2000,4,0))</f>
        <v/>
      </c>
      <c r="R100" s="11" t="str">
        <f>IF(ISBLANK($N100),"",VLOOKUP($N100,List!$B$1:$F$2000,5,0))</f>
        <v/>
      </c>
      <c r="S100" s="61" t="str">
        <f t="shared" si="38"/>
        <v/>
      </c>
      <c r="T100" s="16" t="str">
        <f t="shared" si="39"/>
        <v/>
      </c>
      <c r="U100" s="7"/>
      <c r="V100" t="s">
        <v>26</v>
      </c>
      <c r="X100" s="39"/>
    </row>
    <row r="101" spans="1:24" x14ac:dyDescent="0.2">
      <c r="A101" s="13">
        <f t="shared" si="40"/>
        <v>9</v>
      </c>
      <c r="B101" s="13">
        <f t="shared" si="41"/>
        <v>9</v>
      </c>
      <c r="C101" s="13">
        <f t="shared" si="42"/>
        <v>6</v>
      </c>
      <c r="D101" s="13">
        <f t="shared" si="43"/>
        <v>13</v>
      </c>
      <c r="E101" s="13">
        <f t="shared" si="44"/>
        <v>7</v>
      </c>
      <c r="F101" s="13">
        <f t="shared" si="45"/>
        <v>6</v>
      </c>
      <c r="G101" s="13">
        <f t="shared" si="46"/>
        <v>0</v>
      </c>
      <c r="H101" s="13">
        <f t="shared" si="47"/>
        <v>0</v>
      </c>
      <c r="I101" s="13">
        <f t="shared" si="48"/>
        <v>1</v>
      </c>
      <c r="J101" s="13">
        <f t="shared" si="49"/>
        <v>0</v>
      </c>
      <c r="K101" s="13" t="b">
        <f t="shared" si="36"/>
        <v>0</v>
      </c>
      <c r="L101" s="59" t="str">
        <f t="shared" si="37"/>
        <v/>
      </c>
      <c r="M101" s="10"/>
      <c r="N101" s="66"/>
      <c r="O101" s="9" t="str">
        <f>IF(ISBLANK($N101),"",VLOOKUP($N101,List!$B$1:$F$2000,2,0))</f>
        <v/>
      </c>
      <c r="P101" s="10" t="str">
        <f>IF(ISBLANK($N101),"",VLOOKUP($N101,List!$B$1:$F$2000,3,0))</f>
        <v/>
      </c>
      <c r="Q101" s="10" t="str">
        <f>IF(ISBLANK($N101),"",VLOOKUP($N101,List!$B$1:$F$2000,4,0))</f>
        <v/>
      </c>
      <c r="R101" s="11" t="str">
        <f>IF(ISBLANK($N101),"",VLOOKUP($N101,List!$B$1:$F$2000,5,0))</f>
        <v/>
      </c>
      <c r="S101" s="61" t="str">
        <f t="shared" si="38"/>
        <v/>
      </c>
      <c r="T101" s="16" t="str">
        <f t="shared" si="39"/>
        <v/>
      </c>
      <c r="U101" s="7"/>
      <c r="V101" t="s">
        <v>26</v>
      </c>
      <c r="X101" s="39"/>
    </row>
    <row r="102" spans="1:24" x14ac:dyDescent="0.2">
      <c r="A102" s="13">
        <f t="shared" si="40"/>
        <v>9</v>
      </c>
      <c r="B102" s="13">
        <f t="shared" si="41"/>
        <v>9</v>
      </c>
      <c r="C102" s="13">
        <f t="shared" si="42"/>
        <v>6</v>
      </c>
      <c r="D102" s="13">
        <f t="shared" si="43"/>
        <v>13</v>
      </c>
      <c r="E102" s="13">
        <f t="shared" si="44"/>
        <v>7</v>
      </c>
      <c r="F102" s="13">
        <f t="shared" si="45"/>
        <v>6</v>
      </c>
      <c r="G102" s="13">
        <f t="shared" si="46"/>
        <v>0</v>
      </c>
      <c r="H102" s="13">
        <f t="shared" si="47"/>
        <v>0</v>
      </c>
      <c r="I102" s="13">
        <f t="shared" si="48"/>
        <v>1</v>
      </c>
      <c r="J102" s="13">
        <f t="shared" si="49"/>
        <v>0</v>
      </c>
      <c r="K102" s="13" t="b">
        <f t="shared" si="36"/>
        <v>0</v>
      </c>
      <c r="L102" s="59" t="str">
        <f t="shared" si="37"/>
        <v/>
      </c>
      <c r="M102" s="10"/>
      <c r="N102" s="8"/>
      <c r="O102" s="9" t="str">
        <f>IF(ISBLANK($N102),"",VLOOKUP($N102,List!$B$1:$F$2000,2,0))</f>
        <v/>
      </c>
      <c r="P102" s="10" t="str">
        <f>IF(ISBLANK($N102),"",VLOOKUP($N102,List!$B$1:$F$2000,3,0))</f>
        <v/>
      </c>
      <c r="Q102" s="10" t="str">
        <f>IF(ISBLANK($N102),"",VLOOKUP($N102,List!$B$1:$F$2000,4,0))</f>
        <v/>
      </c>
      <c r="R102" s="11" t="str">
        <f>IF(ISBLANK($N102),"",VLOOKUP($N102,List!$B$1:$F$2000,5,0))</f>
        <v/>
      </c>
      <c r="S102" s="61" t="str">
        <f t="shared" si="38"/>
        <v/>
      </c>
      <c r="T102" s="16" t="str">
        <f t="shared" si="39"/>
        <v/>
      </c>
      <c r="U102" s="7"/>
      <c r="V102" t="s">
        <v>26</v>
      </c>
      <c r="X102" s="39"/>
    </row>
    <row r="103" spans="1:24" x14ac:dyDescent="0.2">
      <c r="A103" s="13">
        <f t="shared" si="40"/>
        <v>9</v>
      </c>
      <c r="B103" s="13">
        <f t="shared" si="41"/>
        <v>9</v>
      </c>
      <c r="C103" s="13">
        <f t="shared" si="42"/>
        <v>6</v>
      </c>
      <c r="D103" s="13">
        <f t="shared" si="43"/>
        <v>13</v>
      </c>
      <c r="E103" s="13">
        <f t="shared" si="44"/>
        <v>7</v>
      </c>
      <c r="F103" s="13">
        <f t="shared" si="45"/>
        <v>6</v>
      </c>
      <c r="G103" s="13">
        <f t="shared" si="46"/>
        <v>0</v>
      </c>
      <c r="H103" s="13">
        <f t="shared" si="47"/>
        <v>0</v>
      </c>
      <c r="I103" s="13">
        <f t="shared" si="48"/>
        <v>1</v>
      </c>
      <c r="J103" s="13">
        <f t="shared" si="49"/>
        <v>0</v>
      </c>
      <c r="K103" s="13" t="b">
        <f t="shared" si="36"/>
        <v>0</v>
      </c>
      <c r="L103" s="59" t="str">
        <f t="shared" si="37"/>
        <v/>
      </c>
      <c r="M103" s="10"/>
      <c r="N103" s="8"/>
      <c r="O103" s="9" t="str">
        <f>IF(ISBLANK($N103),"",VLOOKUP($N103,List!$B$1:$F$2000,2,0))</f>
        <v/>
      </c>
      <c r="P103" s="10" t="str">
        <f>IF(ISBLANK($N103),"",VLOOKUP($N103,List!$B$1:$F$2000,3,0))</f>
        <v/>
      </c>
      <c r="Q103" s="10" t="str">
        <f>IF(ISBLANK($N103),"",VLOOKUP($N103,List!$B$1:$F$2000,4,0))</f>
        <v/>
      </c>
      <c r="R103" s="11" t="str">
        <f>IF(ISBLANK($N103),"",VLOOKUP($N103,List!$B$1:$F$2000,5,0))</f>
        <v/>
      </c>
      <c r="S103" s="61" t="str">
        <f t="shared" si="38"/>
        <v/>
      </c>
      <c r="T103" s="16" t="str">
        <f t="shared" si="39"/>
        <v/>
      </c>
      <c r="U103" s="7"/>
      <c r="V103" t="s">
        <v>26</v>
      </c>
      <c r="X103" s="39"/>
    </row>
    <row r="104" spans="1:24" x14ac:dyDescent="0.2">
      <c r="A104" s="13">
        <f t="shared" si="40"/>
        <v>9</v>
      </c>
      <c r="B104" s="13">
        <f t="shared" si="41"/>
        <v>9</v>
      </c>
      <c r="C104" s="13">
        <f t="shared" si="42"/>
        <v>6</v>
      </c>
      <c r="D104" s="13">
        <f t="shared" si="43"/>
        <v>13</v>
      </c>
      <c r="E104" s="13">
        <f t="shared" si="44"/>
        <v>7</v>
      </c>
      <c r="F104" s="13">
        <f t="shared" si="45"/>
        <v>6</v>
      </c>
      <c r="G104" s="13">
        <f t="shared" si="46"/>
        <v>0</v>
      </c>
      <c r="H104" s="13">
        <f t="shared" si="47"/>
        <v>0</v>
      </c>
      <c r="I104" s="13">
        <f t="shared" si="48"/>
        <v>1</v>
      </c>
      <c r="J104" s="13">
        <f t="shared" si="49"/>
        <v>0</v>
      </c>
      <c r="K104" s="13" t="b">
        <f t="shared" si="36"/>
        <v>0</v>
      </c>
      <c r="L104" s="59" t="str">
        <f t="shared" si="37"/>
        <v/>
      </c>
      <c r="M104" s="10"/>
      <c r="N104" s="8"/>
      <c r="O104" s="9" t="str">
        <f>IF(ISBLANK($N104),"",VLOOKUP($N104,List!$B$1:$F$2000,2,0))</f>
        <v/>
      </c>
      <c r="P104" s="10" t="str">
        <f>IF(ISBLANK($N104),"",VLOOKUP($N104,List!$B$1:$F$2000,3,0))</f>
        <v/>
      </c>
      <c r="Q104" s="10" t="str">
        <f>IF(ISBLANK($N104),"",VLOOKUP($N104,List!$B$1:$F$2000,4,0))</f>
        <v/>
      </c>
      <c r="R104" s="11" t="str">
        <f>IF(ISBLANK($N104),"",VLOOKUP($N104,List!$B$1:$F$2000,5,0))</f>
        <v/>
      </c>
      <c r="S104" s="61" t="str">
        <f t="shared" si="38"/>
        <v/>
      </c>
      <c r="T104" s="16" t="str">
        <f t="shared" si="39"/>
        <v/>
      </c>
      <c r="U104" s="7"/>
      <c r="V104" t="s">
        <v>26</v>
      </c>
      <c r="X104" s="39"/>
    </row>
    <row r="105" spans="1:24" x14ac:dyDescent="0.2">
      <c r="A105" s="13">
        <f t="shared" si="40"/>
        <v>9</v>
      </c>
      <c r="B105" s="13">
        <f t="shared" si="41"/>
        <v>9</v>
      </c>
      <c r="C105" s="13">
        <f t="shared" si="42"/>
        <v>6</v>
      </c>
      <c r="D105" s="13">
        <f t="shared" si="43"/>
        <v>13</v>
      </c>
      <c r="E105" s="13">
        <f t="shared" si="44"/>
        <v>7</v>
      </c>
      <c r="F105" s="13">
        <f t="shared" si="45"/>
        <v>6</v>
      </c>
      <c r="G105" s="13">
        <f t="shared" si="46"/>
        <v>0</v>
      </c>
      <c r="H105" s="13">
        <f t="shared" si="47"/>
        <v>0</v>
      </c>
      <c r="I105" s="13">
        <f t="shared" si="48"/>
        <v>1</v>
      </c>
      <c r="J105" s="13">
        <f t="shared" si="49"/>
        <v>0</v>
      </c>
      <c r="K105" s="13" t="b">
        <f t="shared" si="36"/>
        <v>0</v>
      </c>
      <c r="L105" s="59" t="str">
        <f t="shared" si="37"/>
        <v/>
      </c>
      <c r="M105" s="10"/>
      <c r="N105" s="8"/>
      <c r="O105" s="9" t="str">
        <f>IF(ISBLANK($N105),"",VLOOKUP($N105,List!$B$1:$F$2000,2,0))</f>
        <v/>
      </c>
      <c r="P105" s="10" t="str">
        <f>IF(ISBLANK($N105),"",VLOOKUP($N105,List!$B$1:$F$2000,3,0))</f>
        <v/>
      </c>
      <c r="Q105" s="10" t="str">
        <f>IF(ISBLANK($N105),"",VLOOKUP($N105,List!$B$1:$F$2000,4,0))</f>
        <v/>
      </c>
      <c r="R105" s="11" t="str">
        <f>IF(ISBLANK($N105),"",VLOOKUP($N105,List!$B$1:$F$2000,5,0))</f>
        <v/>
      </c>
      <c r="S105" s="61" t="str">
        <f t="shared" si="38"/>
        <v/>
      </c>
      <c r="T105" s="16" t="str">
        <f t="shared" si="39"/>
        <v/>
      </c>
      <c r="U105" s="7"/>
      <c r="V105" t="s">
        <v>26</v>
      </c>
      <c r="X105" s="39"/>
    </row>
    <row r="106" spans="1:24" x14ac:dyDescent="0.2">
      <c r="A106" s="13">
        <f t="shared" si="40"/>
        <v>9</v>
      </c>
      <c r="B106" s="13">
        <f t="shared" si="41"/>
        <v>9</v>
      </c>
      <c r="C106" s="13">
        <f t="shared" si="42"/>
        <v>6</v>
      </c>
      <c r="D106" s="13">
        <f t="shared" si="43"/>
        <v>13</v>
      </c>
      <c r="E106" s="13">
        <f t="shared" si="44"/>
        <v>7</v>
      </c>
      <c r="F106" s="13">
        <f t="shared" si="45"/>
        <v>6</v>
      </c>
      <c r="G106" s="13">
        <f t="shared" si="46"/>
        <v>0</v>
      </c>
      <c r="H106" s="13">
        <f t="shared" si="47"/>
        <v>0</v>
      </c>
      <c r="I106" s="13">
        <f t="shared" si="48"/>
        <v>1</v>
      </c>
      <c r="J106" s="13">
        <f t="shared" si="49"/>
        <v>0</v>
      </c>
      <c r="K106" s="13" t="b">
        <f t="shared" si="36"/>
        <v>0</v>
      </c>
      <c r="L106" s="59" t="str">
        <f t="shared" si="37"/>
        <v/>
      </c>
      <c r="M106" s="10"/>
      <c r="N106" s="8"/>
      <c r="O106" s="9" t="str">
        <f>IF(ISBLANK($N106),"",VLOOKUP($N106,List!$B$1:$F$2000,2,0))</f>
        <v/>
      </c>
      <c r="P106" s="10" t="str">
        <f>IF(ISBLANK($N106),"",VLOOKUP($N106,List!$B$1:$F$2000,3,0))</f>
        <v/>
      </c>
      <c r="Q106" s="10" t="str">
        <f>IF(ISBLANK($N106),"",VLOOKUP($N106,List!$B$1:$F$2000,4,0))</f>
        <v/>
      </c>
      <c r="R106" s="11" t="str">
        <f>IF(ISBLANK($N106),"",VLOOKUP($N106,List!$B$1:$F$2000,5,0))</f>
        <v/>
      </c>
      <c r="S106" s="61" t="str">
        <f t="shared" si="38"/>
        <v/>
      </c>
      <c r="T106" s="16" t="str">
        <f t="shared" si="39"/>
        <v/>
      </c>
      <c r="U106" s="7"/>
      <c r="V106" t="s">
        <v>26</v>
      </c>
      <c r="X106" s="39"/>
    </row>
    <row r="107" spans="1:24" x14ac:dyDescent="0.2">
      <c r="A107" s="13">
        <f t="shared" si="40"/>
        <v>9</v>
      </c>
      <c r="B107" s="13">
        <f t="shared" si="41"/>
        <v>9</v>
      </c>
      <c r="C107" s="13">
        <f t="shared" si="42"/>
        <v>6</v>
      </c>
      <c r="D107" s="13">
        <f t="shared" si="43"/>
        <v>13</v>
      </c>
      <c r="E107" s="13">
        <f t="shared" si="44"/>
        <v>7</v>
      </c>
      <c r="F107" s="13">
        <f t="shared" si="45"/>
        <v>6</v>
      </c>
      <c r="G107" s="13">
        <f t="shared" si="46"/>
        <v>0</v>
      </c>
      <c r="H107" s="13">
        <f t="shared" si="47"/>
        <v>0</v>
      </c>
      <c r="I107" s="13">
        <f t="shared" si="48"/>
        <v>1</v>
      </c>
      <c r="J107" s="13">
        <f t="shared" si="49"/>
        <v>0</v>
      </c>
      <c r="K107" s="13" t="b">
        <f t="shared" si="36"/>
        <v>0</v>
      </c>
      <c r="L107" s="59" t="str">
        <f t="shared" si="37"/>
        <v/>
      </c>
      <c r="M107" s="10"/>
      <c r="N107" s="8"/>
      <c r="O107" s="9" t="str">
        <f>IF(ISBLANK($N107),"",VLOOKUP($N107,List!$B$1:$F$2000,2,0))</f>
        <v/>
      </c>
      <c r="P107" s="10" t="str">
        <f>IF(ISBLANK($N107),"",VLOOKUP($N107,List!$B$1:$F$2000,3,0))</f>
        <v/>
      </c>
      <c r="Q107" s="10" t="str">
        <f>IF(ISBLANK($N107),"",VLOOKUP($N107,List!$B$1:$F$2000,4,0))</f>
        <v/>
      </c>
      <c r="R107" s="11" t="str">
        <f>IF(ISBLANK($N107),"",VLOOKUP($N107,List!$B$1:$F$2000,5,0))</f>
        <v/>
      </c>
      <c r="S107" s="61" t="str">
        <f t="shared" si="38"/>
        <v/>
      </c>
      <c r="T107" s="16" t="str">
        <f t="shared" si="39"/>
        <v/>
      </c>
      <c r="U107" s="7"/>
      <c r="V107" t="s">
        <v>26</v>
      </c>
      <c r="X107" s="39"/>
    </row>
    <row r="108" spans="1:24" x14ac:dyDescent="0.2">
      <c r="A108" s="13">
        <f t="shared" si="40"/>
        <v>9</v>
      </c>
      <c r="B108" s="13">
        <f t="shared" si="41"/>
        <v>9</v>
      </c>
      <c r="C108" s="13">
        <f t="shared" si="42"/>
        <v>6</v>
      </c>
      <c r="D108" s="13">
        <f t="shared" si="43"/>
        <v>13</v>
      </c>
      <c r="E108" s="13">
        <f t="shared" si="44"/>
        <v>7</v>
      </c>
      <c r="F108" s="13">
        <f t="shared" si="45"/>
        <v>6</v>
      </c>
      <c r="G108" s="13">
        <f t="shared" si="46"/>
        <v>0</v>
      </c>
      <c r="H108" s="13">
        <f t="shared" si="47"/>
        <v>0</v>
      </c>
      <c r="I108" s="13">
        <f t="shared" si="48"/>
        <v>1</v>
      </c>
      <c r="J108" s="13">
        <f t="shared" si="49"/>
        <v>0</v>
      </c>
      <c r="K108" s="13" t="b">
        <f t="shared" si="36"/>
        <v>0</v>
      </c>
      <c r="L108" s="59" t="str">
        <f t="shared" si="37"/>
        <v/>
      </c>
      <c r="M108" s="10"/>
      <c r="N108" s="8"/>
      <c r="O108" s="9" t="str">
        <f>IF(ISBLANK($N108),"",VLOOKUP($N108,List!$B$1:$F$2000,2,0))</f>
        <v/>
      </c>
      <c r="P108" s="10" t="str">
        <f>IF(ISBLANK($N108),"",VLOOKUP($N108,List!$B$1:$F$2000,3,0))</f>
        <v/>
      </c>
      <c r="Q108" s="10" t="str">
        <f>IF(ISBLANK($N108),"",VLOOKUP($N108,List!$B$1:$F$2000,4,0))</f>
        <v/>
      </c>
      <c r="R108" s="11" t="str">
        <f>IF(ISBLANK($N108),"",VLOOKUP($N108,List!$B$1:$F$2000,5,0))</f>
        <v/>
      </c>
      <c r="S108" s="61" t="str">
        <f t="shared" si="38"/>
        <v/>
      </c>
      <c r="T108" s="16" t="str">
        <f t="shared" si="39"/>
        <v/>
      </c>
      <c r="U108" s="7"/>
      <c r="V108" t="s">
        <v>26</v>
      </c>
      <c r="X108" s="39"/>
    </row>
    <row r="109" spans="1:24" x14ac:dyDescent="0.2">
      <c r="A109" s="13">
        <f t="shared" si="40"/>
        <v>9</v>
      </c>
      <c r="B109" s="13">
        <f t="shared" si="41"/>
        <v>9</v>
      </c>
      <c r="C109" s="13">
        <f t="shared" si="42"/>
        <v>6</v>
      </c>
      <c r="D109" s="13">
        <f t="shared" si="43"/>
        <v>13</v>
      </c>
      <c r="E109" s="13">
        <f t="shared" si="44"/>
        <v>7</v>
      </c>
      <c r="F109" s="13">
        <f t="shared" si="45"/>
        <v>6</v>
      </c>
      <c r="G109" s="13">
        <f t="shared" si="46"/>
        <v>0</v>
      </c>
      <c r="H109" s="13">
        <f t="shared" si="47"/>
        <v>0</v>
      </c>
      <c r="I109" s="13">
        <f t="shared" si="48"/>
        <v>1</v>
      </c>
      <c r="J109" s="13">
        <f t="shared" si="49"/>
        <v>0</v>
      </c>
      <c r="K109" s="13" t="b">
        <f t="shared" si="36"/>
        <v>0</v>
      </c>
      <c r="L109" s="59" t="str">
        <f t="shared" si="37"/>
        <v/>
      </c>
      <c r="M109" s="10"/>
      <c r="N109" s="8"/>
      <c r="O109" s="9" t="str">
        <f>IF(ISBLANK($N109),"",VLOOKUP($N109,List!$B$1:$F$2000,2,0))</f>
        <v/>
      </c>
      <c r="P109" s="10" t="str">
        <f>IF(ISBLANK($N109),"",VLOOKUP($N109,List!$B$1:$F$2000,3,0))</f>
        <v/>
      </c>
      <c r="Q109" s="10" t="str">
        <f>IF(ISBLANK($N109),"",VLOOKUP($N109,List!$B$1:$F$2000,4,0))</f>
        <v/>
      </c>
      <c r="R109" s="11" t="str">
        <f>IF(ISBLANK($N109),"",VLOOKUP($N109,List!$B$1:$F$2000,5,0))</f>
        <v/>
      </c>
      <c r="S109" s="61" t="str">
        <f t="shared" si="38"/>
        <v/>
      </c>
      <c r="T109" s="16" t="str">
        <f t="shared" si="39"/>
        <v/>
      </c>
      <c r="U109" s="7"/>
      <c r="V109" t="s">
        <v>26</v>
      </c>
      <c r="X109" s="39"/>
    </row>
    <row r="110" spans="1:24" x14ac:dyDescent="0.2">
      <c r="A110" s="13">
        <f t="shared" si="40"/>
        <v>9</v>
      </c>
      <c r="B110" s="13">
        <f t="shared" si="41"/>
        <v>9</v>
      </c>
      <c r="C110" s="13">
        <f t="shared" si="42"/>
        <v>6</v>
      </c>
      <c r="D110" s="13">
        <f t="shared" si="43"/>
        <v>13</v>
      </c>
      <c r="E110" s="13">
        <f t="shared" si="44"/>
        <v>7</v>
      </c>
      <c r="F110" s="13">
        <f t="shared" si="45"/>
        <v>6</v>
      </c>
      <c r="G110" s="13">
        <f t="shared" si="46"/>
        <v>0</v>
      </c>
      <c r="H110" s="13">
        <f t="shared" si="47"/>
        <v>0</v>
      </c>
      <c r="I110" s="13">
        <f t="shared" si="48"/>
        <v>1</v>
      </c>
      <c r="J110" s="13">
        <f t="shared" si="49"/>
        <v>0</v>
      </c>
      <c r="K110" s="13" t="b">
        <f t="shared" si="36"/>
        <v>0</v>
      </c>
      <c r="L110" s="59" t="str">
        <f t="shared" si="37"/>
        <v/>
      </c>
      <c r="M110" s="10"/>
      <c r="N110" s="8"/>
      <c r="O110" s="9" t="str">
        <f>IF(ISBLANK($N110),"",VLOOKUP($N110,List!$B$1:$F$2000,2,0))</f>
        <v/>
      </c>
      <c r="P110" s="10" t="str">
        <f>IF(ISBLANK($N110),"",VLOOKUP($N110,List!$B$1:$F$2000,3,0))</f>
        <v/>
      </c>
      <c r="Q110" s="10" t="str">
        <f>IF(ISBLANK($N110),"",VLOOKUP($N110,List!$B$1:$F$2000,4,0))</f>
        <v/>
      </c>
      <c r="R110" s="11" t="str">
        <f>IF(ISBLANK($N110),"",VLOOKUP($N110,List!$B$1:$F$2000,5,0))</f>
        <v/>
      </c>
      <c r="S110" s="61" t="str">
        <f t="shared" si="38"/>
        <v/>
      </c>
      <c r="T110" s="16" t="str">
        <f t="shared" si="39"/>
        <v/>
      </c>
      <c r="U110" s="7"/>
      <c r="V110" t="s">
        <v>26</v>
      </c>
      <c r="X110" s="39"/>
    </row>
    <row r="111" spans="1:24" x14ac:dyDescent="0.2">
      <c r="A111" s="13">
        <f t="shared" si="40"/>
        <v>9</v>
      </c>
      <c r="B111" s="13">
        <f t="shared" si="41"/>
        <v>9</v>
      </c>
      <c r="C111" s="13">
        <f t="shared" si="42"/>
        <v>6</v>
      </c>
      <c r="D111" s="13">
        <f t="shared" si="43"/>
        <v>13</v>
      </c>
      <c r="E111" s="13">
        <f t="shared" si="44"/>
        <v>7</v>
      </c>
      <c r="F111" s="13">
        <f t="shared" si="45"/>
        <v>6</v>
      </c>
      <c r="G111" s="13">
        <f t="shared" si="46"/>
        <v>0</v>
      </c>
      <c r="H111" s="13">
        <f t="shared" si="47"/>
        <v>0</v>
      </c>
      <c r="I111" s="13">
        <f t="shared" si="48"/>
        <v>1</v>
      </c>
      <c r="J111" s="13">
        <f t="shared" si="49"/>
        <v>0</v>
      </c>
      <c r="K111" s="13" t="b">
        <f t="shared" si="36"/>
        <v>0</v>
      </c>
      <c r="L111" s="59" t="str">
        <f t="shared" si="37"/>
        <v/>
      </c>
      <c r="M111" s="10"/>
      <c r="N111" s="8"/>
      <c r="O111" s="9" t="str">
        <f>IF(ISBLANK($N111),"",VLOOKUP($N111,List!$B$1:$F$2000,2,0))</f>
        <v/>
      </c>
      <c r="P111" s="10" t="str">
        <f>IF(ISBLANK($N111),"",VLOOKUP($N111,List!$B$1:$F$2000,3,0))</f>
        <v/>
      </c>
      <c r="Q111" s="10" t="str">
        <f>IF(ISBLANK($N111),"",VLOOKUP($N111,List!$B$1:$F$2000,4,0))</f>
        <v/>
      </c>
      <c r="R111" s="11" t="str">
        <f>IF(ISBLANK($N111),"",VLOOKUP($N111,List!$B$1:$F$2000,5,0))</f>
        <v/>
      </c>
      <c r="S111" s="61" t="str">
        <f t="shared" si="38"/>
        <v/>
      </c>
      <c r="T111" s="16" t="str">
        <f t="shared" si="39"/>
        <v/>
      </c>
      <c r="U111" s="7"/>
      <c r="V111" t="s">
        <v>26</v>
      </c>
      <c r="X111" s="39"/>
    </row>
    <row r="112" spans="1:24" x14ac:dyDescent="0.2">
      <c r="A112" s="13">
        <f t="shared" si="40"/>
        <v>9</v>
      </c>
      <c r="B112" s="13">
        <f t="shared" si="41"/>
        <v>9</v>
      </c>
      <c r="C112" s="13">
        <f t="shared" si="42"/>
        <v>6</v>
      </c>
      <c r="D112" s="13">
        <f t="shared" si="43"/>
        <v>13</v>
      </c>
      <c r="E112" s="13">
        <f t="shared" si="44"/>
        <v>7</v>
      </c>
      <c r="F112" s="13">
        <f t="shared" si="45"/>
        <v>6</v>
      </c>
      <c r="G112" s="13">
        <f t="shared" si="46"/>
        <v>0</v>
      </c>
      <c r="H112" s="13">
        <f t="shared" si="47"/>
        <v>0</v>
      </c>
      <c r="I112" s="13">
        <f t="shared" si="48"/>
        <v>1</v>
      </c>
      <c r="J112" s="13">
        <f t="shared" si="49"/>
        <v>0</v>
      </c>
      <c r="K112" s="13" t="b">
        <f t="shared" si="36"/>
        <v>0</v>
      </c>
      <c r="L112" s="59" t="str">
        <f t="shared" si="37"/>
        <v/>
      </c>
      <c r="M112" s="10"/>
      <c r="N112" s="8"/>
      <c r="O112" s="9" t="str">
        <f>IF(ISBLANK($N112),"",VLOOKUP($N112,List!$B$1:$F$2000,2,0))</f>
        <v/>
      </c>
      <c r="P112" s="10" t="str">
        <f>IF(ISBLANK($N112),"",VLOOKUP($N112,List!$B$1:$F$2000,3,0))</f>
        <v/>
      </c>
      <c r="Q112" s="10" t="str">
        <f>IF(ISBLANK($N112),"",VLOOKUP($N112,List!$B$1:$F$2000,4,0))</f>
        <v/>
      </c>
      <c r="R112" s="11" t="str">
        <f>IF(ISBLANK($N112),"",VLOOKUP($N112,List!$B$1:$F$2000,5,0))</f>
        <v/>
      </c>
      <c r="S112" s="61" t="str">
        <f t="shared" si="38"/>
        <v/>
      </c>
      <c r="T112" s="16" t="str">
        <f t="shared" si="39"/>
        <v/>
      </c>
      <c r="U112" s="7"/>
      <c r="V112" t="s">
        <v>26</v>
      </c>
      <c r="X112" s="39"/>
    </row>
    <row r="113" spans="1:24" x14ac:dyDescent="0.2">
      <c r="A113" s="13">
        <f t="shared" si="40"/>
        <v>9</v>
      </c>
      <c r="B113" s="13">
        <f t="shared" si="41"/>
        <v>9</v>
      </c>
      <c r="C113" s="13">
        <f t="shared" si="42"/>
        <v>6</v>
      </c>
      <c r="D113" s="13">
        <f t="shared" si="43"/>
        <v>13</v>
      </c>
      <c r="E113" s="13">
        <f t="shared" si="44"/>
        <v>7</v>
      </c>
      <c r="F113" s="13">
        <f t="shared" si="45"/>
        <v>6</v>
      </c>
      <c r="G113" s="13">
        <f t="shared" si="46"/>
        <v>0</v>
      </c>
      <c r="H113" s="13">
        <f t="shared" si="47"/>
        <v>0</v>
      </c>
      <c r="I113" s="13">
        <f t="shared" si="48"/>
        <v>1</v>
      </c>
      <c r="J113" s="13">
        <f t="shared" si="49"/>
        <v>0</v>
      </c>
      <c r="K113" s="13" t="b">
        <f t="shared" si="36"/>
        <v>0</v>
      </c>
      <c r="L113" s="59" t="str">
        <f t="shared" si="37"/>
        <v/>
      </c>
      <c r="M113" s="10"/>
      <c r="N113" s="8"/>
      <c r="O113" s="9" t="str">
        <f>IF(ISBLANK($N113),"",VLOOKUP($N113,List!$B$1:$F$2000,2,0))</f>
        <v/>
      </c>
      <c r="P113" s="10" t="str">
        <f>IF(ISBLANK($N113),"",VLOOKUP($N113,List!$B$1:$F$2000,3,0))</f>
        <v/>
      </c>
      <c r="Q113" s="10" t="str">
        <f>IF(ISBLANK($N113),"",VLOOKUP($N113,List!$B$1:$F$2000,4,0))</f>
        <v/>
      </c>
      <c r="R113" s="11" t="str">
        <f>IF(ISBLANK($N113),"",VLOOKUP($N113,List!$B$1:$F$2000,5,0))</f>
        <v/>
      </c>
      <c r="S113" s="61" t="str">
        <f t="shared" si="38"/>
        <v/>
      </c>
      <c r="T113" s="16" t="str">
        <f t="shared" si="39"/>
        <v/>
      </c>
      <c r="U113" s="7"/>
      <c r="V113" t="s">
        <v>26</v>
      </c>
      <c r="X113" s="39"/>
    </row>
    <row r="114" spans="1:24" x14ac:dyDescent="0.2">
      <c r="A114" s="13">
        <f t="shared" si="40"/>
        <v>9</v>
      </c>
      <c r="B114" s="13">
        <f t="shared" si="41"/>
        <v>9</v>
      </c>
      <c r="C114" s="13">
        <f t="shared" si="42"/>
        <v>6</v>
      </c>
      <c r="D114" s="13">
        <f t="shared" si="43"/>
        <v>13</v>
      </c>
      <c r="E114" s="13">
        <f t="shared" si="44"/>
        <v>7</v>
      </c>
      <c r="F114" s="13">
        <f t="shared" si="45"/>
        <v>6</v>
      </c>
      <c r="G114" s="13">
        <f t="shared" si="46"/>
        <v>0</v>
      </c>
      <c r="H114" s="13">
        <f t="shared" si="47"/>
        <v>0</v>
      </c>
      <c r="I114" s="13">
        <f t="shared" si="48"/>
        <v>1</v>
      </c>
      <c r="J114" s="13">
        <f t="shared" si="49"/>
        <v>0</v>
      </c>
      <c r="K114" s="13" t="b">
        <f t="shared" si="36"/>
        <v>0</v>
      </c>
      <c r="L114" s="59" t="str">
        <f t="shared" si="37"/>
        <v/>
      </c>
      <c r="M114" s="10"/>
      <c r="N114" s="8"/>
      <c r="O114" s="9" t="str">
        <f>IF(ISBLANK($N114),"",VLOOKUP($N114,List!$B$1:$F$2000,2,0))</f>
        <v/>
      </c>
      <c r="P114" s="10" t="str">
        <f>IF(ISBLANK($N114),"",VLOOKUP($N114,List!$B$1:$F$2000,3,0))</f>
        <v/>
      </c>
      <c r="Q114" s="10" t="str">
        <f>IF(ISBLANK($N114),"",VLOOKUP($N114,List!$B$1:$F$2000,4,0))</f>
        <v/>
      </c>
      <c r="R114" s="11" t="str">
        <f>IF(ISBLANK($N114),"",VLOOKUP($N114,List!$B$1:$F$2000,5,0))</f>
        <v/>
      </c>
      <c r="S114" s="61" t="str">
        <f t="shared" si="38"/>
        <v/>
      </c>
      <c r="T114" s="16" t="str">
        <f t="shared" si="39"/>
        <v/>
      </c>
      <c r="U114" s="7"/>
      <c r="V114" t="s">
        <v>26</v>
      </c>
      <c r="X114" s="39"/>
    </row>
    <row r="115" spans="1:24" x14ac:dyDescent="0.2">
      <c r="A115" s="13">
        <f t="shared" si="40"/>
        <v>9</v>
      </c>
      <c r="B115" s="13">
        <f t="shared" si="41"/>
        <v>9</v>
      </c>
      <c r="C115" s="13">
        <f t="shared" si="42"/>
        <v>6</v>
      </c>
      <c r="D115" s="13">
        <f t="shared" si="43"/>
        <v>13</v>
      </c>
      <c r="E115" s="13">
        <f t="shared" si="44"/>
        <v>7</v>
      </c>
      <c r="F115" s="13">
        <f t="shared" si="45"/>
        <v>6</v>
      </c>
      <c r="G115" s="13">
        <f t="shared" si="46"/>
        <v>0</v>
      </c>
      <c r="H115" s="13">
        <f t="shared" si="47"/>
        <v>0</v>
      </c>
      <c r="I115" s="13">
        <f t="shared" si="48"/>
        <v>1</v>
      </c>
      <c r="J115" s="13">
        <f t="shared" si="49"/>
        <v>0</v>
      </c>
      <c r="K115" s="13" t="b">
        <f t="shared" si="36"/>
        <v>0</v>
      </c>
      <c r="L115" s="59" t="str">
        <f t="shared" si="37"/>
        <v/>
      </c>
      <c r="M115" s="10"/>
      <c r="N115" s="8"/>
      <c r="O115" s="9" t="str">
        <f>IF(ISBLANK($N115),"",VLOOKUP($N115,List!$B$1:$F$2000,2,0))</f>
        <v/>
      </c>
      <c r="P115" s="10" t="str">
        <f>IF(ISBLANK($N115),"",VLOOKUP($N115,List!$B$1:$F$2000,3,0))</f>
        <v/>
      </c>
      <c r="Q115" s="10" t="str">
        <f>IF(ISBLANK($N115),"",VLOOKUP($N115,List!$B$1:$F$2000,4,0))</f>
        <v/>
      </c>
      <c r="R115" s="11" t="str">
        <f>IF(ISBLANK($N115),"",VLOOKUP($N115,List!$B$1:$F$2000,5,0))</f>
        <v/>
      </c>
      <c r="S115" s="61" t="str">
        <f t="shared" si="38"/>
        <v/>
      </c>
      <c r="T115" s="16" t="str">
        <f t="shared" si="39"/>
        <v/>
      </c>
      <c r="U115" s="7"/>
      <c r="V115" t="s">
        <v>26</v>
      </c>
      <c r="X115" s="39"/>
    </row>
    <row r="116" spans="1:24" x14ac:dyDescent="0.2">
      <c r="A116" s="13">
        <f t="shared" si="40"/>
        <v>9</v>
      </c>
      <c r="B116" s="13">
        <f t="shared" si="41"/>
        <v>9</v>
      </c>
      <c r="C116" s="13">
        <f t="shared" si="42"/>
        <v>6</v>
      </c>
      <c r="D116" s="13">
        <f t="shared" si="43"/>
        <v>13</v>
      </c>
      <c r="E116" s="13">
        <f t="shared" si="44"/>
        <v>7</v>
      </c>
      <c r="F116" s="13">
        <f t="shared" si="45"/>
        <v>6</v>
      </c>
      <c r="G116" s="13">
        <f t="shared" si="46"/>
        <v>0</v>
      </c>
      <c r="H116" s="13">
        <f t="shared" si="47"/>
        <v>0</v>
      </c>
      <c r="I116" s="13">
        <f t="shared" si="48"/>
        <v>1</v>
      </c>
      <c r="J116" s="13">
        <f t="shared" si="49"/>
        <v>0</v>
      </c>
      <c r="K116" s="13" t="b">
        <f t="shared" si="36"/>
        <v>0</v>
      </c>
      <c r="L116" s="59" t="str">
        <f t="shared" si="37"/>
        <v/>
      </c>
      <c r="M116" s="10"/>
      <c r="N116" s="8"/>
      <c r="O116" s="9" t="str">
        <f>IF(ISBLANK($N116),"",VLOOKUP($N116,List!$B$1:$F$2000,2,0))</f>
        <v/>
      </c>
      <c r="P116" s="10" t="str">
        <f>IF(ISBLANK($N116),"",VLOOKUP($N116,List!$B$1:$F$2000,3,0))</f>
        <v/>
      </c>
      <c r="Q116" s="10" t="str">
        <f>IF(ISBLANK($N116),"",VLOOKUP($N116,List!$B$1:$F$2000,4,0))</f>
        <v/>
      </c>
      <c r="R116" s="11" t="str">
        <f>IF(ISBLANK($N116),"",VLOOKUP($N116,List!$B$1:$F$2000,5,0))</f>
        <v/>
      </c>
      <c r="S116" s="61" t="str">
        <f t="shared" si="38"/>
        <v/>
      </c>
      <c r="T116" s="16" t="str">
        <f t="shared" si="39"/>
        <v/>
      </c>
      <c r="U116" s="7"/>
      <c r="V116" t="s">
        <v>26</v>
      </c>
      <c r="X116" s="39"/>
    </row>
    <row r="117" spans="1:24" x14ac:dyDescent="0.2">
      <c r="A117" s="13">
        <f t="shared" si="40"/>
        <v>9</v>
      </c>
      <c r="B117" s="13">
        <f t="shared" si="41"/>
        <v>9</v>
      </c>
      <c r="C117" s="13">
        <f t="shared" si="42"/>
        <v>6</v>
      </c>
      <c r="D117" s="13">
        <f t="shared" si="43"/>
        <v>13</v>
      </c>
      <c r="E117" s="13">
        <f t="shared" si="44"/>
        <v>7</v>
      </c>
      <c r="F117" s="13">
        <f t="shared" si="45"/>
        <v>6</v>
      </c>
      <c r="G117" s="13">
        <f t="shared" si="46"/>
        <v>0</v>
      </c>
      <c r="H117" s="13">
        <f t="shared" si="47"/>
        <v>0</v>
      </c>
      <c r="I117" s="13">
        <f t="shared" si="48"/>
        <v>1</v>
      </c>
      <c r="J117" s="13">
        <f t="shared" si="49"/>
        <v>0</v>
      </c>
      <c r="K117" s="13" t="b">
        <f t="shared" si="36"/>
        <v>0</v>
      </c>
      <c r="L117" s="59" t="str">
        <f t="shared" si="37"/>
        <v/>
      </c>
      <c r="M117" s="10"/>
      <c r="N117" s="8"/>
      <c r="O117" s="9" t="str">
        <f>IF(ISBLANK($N117),"",VLOOKUP($N117,List!$B$1:$F$2000,2,0))</f>
        <v/>
      </c>
      <c r="P117" s="10" t="str">
        <f>IF(ISBLANK($N117),"",VLOOKUP($N117,List!$B$1:$F$2000,3,0))</f>
        <v/>
      </c>
      <c r="Q117" s="10" t="str">
        <f>IF(ISBLANK($N117),"",VLOOKUP($N117,List!$B$1:$F$2000,4,0))</f>
        <v/>
      </c>
      <c r="R117" s="11" t="str">
        <f>IF(ISBLANK($N117),"",VLOOKUP($N117,List!$B$1:$F$2000,5,0))</f>
        <v/>
      </c>
      <c r="S117" s="61" t="str">
        <f t="shared" si="38"/>
        <v/>
      </c>
      <c r="T117" s="16" t="str">
        <f t="shared" si="39"/>
        <v/>
      </c>
      <c r="U117" s="7"/>
      <c r="V117" t="s">
        <v>26</v>
      </c>
      <c r="X117" s="39"/>
    </row>
    <row r="118" spans="1:24" x14ac:dyDescent="0.2">
      <c r="A118" s="13">
        <f t="shared" si="40"/>
        <v>9</v>
      </c>
      <c r="B118" s="13">
        <f t="shared" si="41"/>
        <v>9</v>
      </c>
      <c r="C118" s="13">
        <f t="shared" si="42"/>
        <v>6</v>
      </c>
      <c r="D118" s="13">
        <f t="shared" si="43"/>
        <v>13</v>
      </c>
      <c r="E118" s="13">
        <f t="shared" si="44"/>
        <v>7</v>
      </c>
      <c r="F118" s="13">
        <f t="shared" si="45"/>
        <v>6</v>
      </c>
      <c r="G118" s="13">
        <f t="shared" si="46"/>
        <v>0</v>
      </c>
      <c r="H118" s="13">
        <f t="shared" si="47"/>
        <v>0</v>
      </c>
      <c r="I118" s="13">
        <f t="shared" si="48"/>
        <v>1</v>
      </c>
      <c r="J118" s="13">
        <f t="shared" si="49"/>
        <v>0</v>
      </c>
      <c r="K118" s="13" t="b">
        <f t="shared" si="36"/>
        <v>0</v>
      </c>
      <c r="L118" s="59" t="str">
        <f t="shared" si="37"/>
        <v/>
      </c>
      <c r="M118" s="10"/>
      <c r="N118" s="8"/>
      <c r="O118" s="9" t="str">
        <f>IF(ISBLANK($N118),"",VLOOKUP($N118,List!$B$1:$F$2000,2,0))</f>
        <v/>
      </c>
      <c r="P118" s="10" t="str">
        <f>IF(ISBLANK($N118),"",VLOOKUP($N118,List!$B$1:$F$2000,3,0))</f>
        <v/>
      </c>
      <c r="Q118" s="10" t="str">
        <f>IF(ISBLANK($N118),"",VLOOKUP($N118,List!$B$1:$F$2000,4,0))</f>
        <v/>
      </c>
      <c r="R118" s="11" t="str">
        <f>IF(ISBLANK($N118),"",VLOOKUP($N118,List!$B$1:$F$2000,5,0))</f>
        <v/>
      </c>
      <c r="S118" s="61" t="str">
        <f t="shared" si="38"/>
        <v/>
      </c>
      <c r="T118" s="16" t="str">
        <f t="shared" si="39"/>
        <v/>
      </c>
      <c r="U118" s="7"/>
      <c r="V118" t="s">
        <v>26</v>
      </c>
      <c r="X118" s="39"/>
    </row>
    <row r="119" spans="1:24" x14ac:dyDescent="0.2">
      <c r="A119" s="13">
        <f t="shared" si="40"/>
        <v>9</v>
      </c>
      <c r="B119" s="13">
        <f t="shared" si="41"/>
        <v>9</v>
      </c>
      <c r="C119" s="13">
        <f t="shared" si="42"/>
        <v>6</v>
      </c>
      <c r="D119" s="13">
        <f t="shared" si="43"/>
        <v>13</v>
      </c>
      <c r="E119" s="13">
        <f t="shared" si="44"/>
        <v>7</v>
      </c>
      <c r="F119" s="13">
        <f t="shared" si="45"/>
        <v>6</v>
      </c>
      <c r="G119" s="13">
        <f t="shared" si="46"/>
        <v>0</v>
      </c>
      <c r="H119" s="13">
        <f t="shared" si="47"/>
        <v>0</v>
      </c>
      <c r="I119" s="13">
        <f t="shared" si="48"/>
        <v>1</v>
      </c>
      <c r="J119" s="13">
        <f t="shared" si="49"/>
        <v>0</v>
      </c>
      <c r="K119" s="13" t="b">
        <f t="shared" si="36"/>
        <v>0</v>
      </c>
      <c r="L119" s="59" t="str">
        <f t="shared" si="37"/>
        <v/>
      </c>
      <c r="M119" s="10"/>
      <c r="N119" s="8"/>
      <c r="O119" s="9" t="str">
        <f>IF(ISBLANK($N119),"",VLOOKUP($N119,List!$B$1:$F$2000,2,0))</f>
        <v/>
      </c>
      <c r="P119" s="10" t="str">
        <f>IF(ISBLANK($N119),"",VLOOKUP($N119,List!$B$1:$F$2000,3,0))</f>
        <v/>
      </c>
      <c r="Q119" s="10" t="str">
        <f>IF(ISBLANK($N119),"",VLOOKUP($N119,List!$B$1:$F$2000,4,0))</f>
        <v/>
      </c>
      <c r="R119" s="11" t="str">
        <f>IF(ISBLANK($N119),"",VLOOKUP($N119,List!$B$1:$F$2000,5,0))</f>
        <v/>
      </c>
      <c r="S119" s="61" t="str">
        <f t="shared" si="38"/>
        <v/>
      </c>
      <c r="T119" s="16" t="str">
        <f t="shared" si="39"/>
        <v/>
      </c>
      <c r="U119" s="7"/>
      <c r="V119" t="s">
        <v>26</v>
      </c>
      <c r="X119" s="39"/>
    </row>
    <row r="120" spans="1:24" x14ac:dyDescent="0.2">
      <c r="A120" s="13">
        <f t="shared" si="40"/>
        <v>9</v>
      </c>
      <c r="B120" s="13">
        <f t="shared" si="41"/>
        <v>9</v>
      </c>
      <c r="C120" s="13">
        <f t="shared" si="42"/>
        <v>6</v>
      </c>
      <c r="D120" s="13">
        <f t="shared" si="43"/>
        <v>13</v>
      </c>
      <c r="E120" s="13">
        <f t="shared" si="44"/>
        <v>7</v>
      </c>
      <c r="F120" s="13">
        <f t="shared" si="45"/>
        <v>6</v>
      </c>
      <c r="G120" s="13">
        <f t="shared" si="46"/>
        <v>0</v>
      </c>
      <c r="H120" s="13">
        <f t="shared" si="47"/>
        <v>0</v>
      </c>
      <c r="I120" s="13">
        <f t="shared" si="48"/>
        <v>1</v>
      </c>
      <c r="J120" s="13">
        <f t="shared" si="49"/>
        <v>0</v>
      </c>
      <c r="K120" s="13" t="b">
        <f t="shared" si="36"/>
        <v>0</v>
      </c>
      <c r="L120" s="59" t="str">
        <f t="shared" si="37"/>
        <v/>
      </c>
      <c r="M120" s="10"/>
      <c r="N120" s="8"/>
      <c r="O120" s="9" t="str">
        <f>IF(ISBLANK($N120),"",VLOOKUP($N120,List!$B$1:$F$2000,2,0))</f>
        <v/>
      </c>
      <c r="P120" s="10" t="str">
        <f>IF(ISBLANK($N120),"",VLOOKUP($N120,List!$B$1:$F$2000,3,0))</f>
        <v/>
      </c>
      <c r="Q120" s="10" t="str">
        <f>IF(ISBLANK($N120),"",VLOOKUP($N120,List!$B$1:$F$2000,4,0))</f>
        <v/>
      </c>
      <c r="R120" s="11" t="str">
        <f>IF(ISBLANK($N120),"",VLOOKUP($N120,List!$B$1:$F$2000,5,0))</f>
        <v/>
      </c>
      <c r="S120" s="61" t="str">
        <f t="shared" si="38"/>
        <v/>
      </c>
      <c r="T120" s="16" t="str">
        <f t="shared" si="39"/>
        <v/>
      </c>
      <c r="U120" s="7"/>
      <c r="V120" t="s">
        <v>26</v>
      </c>
      <c r="X120" s="39"/>
    </row>
    <row r="121" spans="1:24" x14ac:dyDescent="0.2">
      <c r="A121" s="13">
        <f t="shared" si="40"/>
        <v>9</v>
      </c>
      <c r="B121" s="13">
        <f t="shared" si="41"/>
        <v>9</v>
      </c>
      <c r="C121" s="13">
        <f t="shared" si="42"/>
        <v>6</v>
      </c>
      <c r="D121" s="13">
        <f t="shared" si="43"/>
        <v>13</v>
      </c>
      <c r="E121" s="13">
        <f t="shared" si="44"/>
        <v>7</v>
      </c>
      <c r="F121" s="13">
        <f t="shared" si="45"/>
        <v>6</v>
      </c>
      <c r="G121" s="13">
        <f t="shared" si="46"/>
        <v>0</v>
      </c>
      <c r="H121" s="13">
        <f t="shared" si="47"/>
        <v>0</v>
      </c>
      <c r="I121" s="13">
        <f t="shared" si="48"/>
        <v>1</v>
      </c>
      <c r="J121" s="13">
        <f t="shared" si="49"/>
        <v>0</v>
      </c>
      <c r="K121" s="13" t="b">
        <f t="shared" si="36"/>
        <v>0</v>
      </c>
      <c r="L121" s="59" t="str">
        <f t="shared" si="37"/>
        <v/>
      </c>
      <c r="M121" s="10"/>
      <c r="N121" s="8"/>
      <c r="O121" s="9" t="str">
        <f>IF(ISBLANK($N121),"",VLOOKUP($N121,List!$B$1:$F$2000,2,0))</f>
        <v/>
      </c>
      <c r="P121" s="10" t="str">
        <f>IF(ISBLANK($N121),"",VLOOKUP($N121,List!$B$1:$F$2000,3,0))</f>
        <v/>
      </c>
      <c r="Q121" s="10" t="str">
        <f>IF(ISBLANK($N121),"",VLOOKUP($N121,List!$B$1:$F$2000,4,0))</f>
        <v/>
      </c>
      <c r="R121" s="11" t="str">
        <f>IF(ISBLANK($N121),"",VLOOKUP($N121,List!$B$1:$F$2000,5,0))</f>
        <v/>
      </c>
      <c r="S121" s="61" t="str">
        <f t="shared" si="38"/>
        <v/>
      </c>
      <c r="T121" s="16" t="str">
        <f t="shared" si="39"/>
        <v/>
      </c>
      <c r="U121" s="7"/>
      <c r="V121" t="s">
        <v>26</v>
      </c>
      <c r="X121" s="39"/>
    </row>
    <row r="122" spans="1:24" x14ac:dyDescent="0.2">
      <c r="A122" s="13">
        <f t="shared" si="40"/>
        <v>9</v>
      </c>
      <c r="B122" s="13">
        <f t="shared" si="41"/>
        <v>9</v>
      </c>
      <c r="C122" s="13">
        <f t="shared" si="42"/>
        <v>6</v>
      </c>
      <c r="D122" s="13">
        <f t="shared" si="43"/>
        <v>13</v>
      </c>
      <c r="E122" s="13">
        <f t="shared" si="44"/>
        <v>7</v>
      </c>
      <c r="F122" s="13">
        <f t="shared" si="45"/>
        <v>6</v>
      </c>
      <c r="G122" s="13">
        <f t="shared" si="46"/>
        <v>0</v>
      </c>
      <c r="H122" s="13">
        <f t="shared" si="47"/>
        <v>0</v>
      </c>
      <c r="I122" s="13">
        <f t="shared" si="48"/>
        <v>1</v>
      </c>
      <c r="J122" s="13">
        <f t="shared" si="49"/>
        <v>0</v>
      </c>
      <c r="K122" s="13" t="b">
        <f t="shared" si="36"/>
        <v>0</v>
      </c>
      <c r="L122" s="59" t="str">
        <f t="shared" si="37"/>
        <v/>
      </c>
      <c r="M122" s="10"/>
      <c r="N122" s="8"/>
      <c r="O122" s="9" t="str">
        <f>IF(ISBLANK($N122),"",VLOOKUP($N122,List!$B$1:$F$2000,2,0))</f>
        <v/>
      </c>
      <c r="P122" s="10" t="str">
        <f>IF(ISBLANK($N122),"",VLOOKUP($N122,List!$B$1:$F$2000,3,0))</f>
        <v/>
      </c>
      <c r="Q122" s="10" t="str">
        <f>IF(ISBLANK($N122),"",VLOOKUP($N122,List!$B$1:$F$2000,4,0))</f>
        <v/>
      </c>
      <c r="R122" s="11" t="str">
        <f>IF(ISBLANK($N122),"",VLOOKUP($N122,List!$B$1:$F$2000,5,0))</f>
        <v/>
      </c>
      <c r="S122" s="61" t="str">
        <f t="shared" si="38"/>
        <v/>
      </c>
      <c r="T122" s="16" t="str">
        <f t="shared" si="39"/>
        <v/>
      </c>
      <c r="U122" s="7"/>
      <c r="V122" t="s">
        <v>26</v>
      </c>
      <c r="X122" s="39"/>
    </row>
    <row r="123" spans="1:24" x14ac:dyDescent="0.2">
      <c r="A123" s="13">
        <f t="shared" si="40"/>
        <v>9</v>
      </c>
      <c r="B123" s="13">
        <f t="shared" si="41"/>
        <v>9</v>
      </c>
      <c r="C123" s="13">
        <f t="shared" si="42"/>
        <v>6</v>
      </c>
      <c r="D123" s="13">
        <f t="shared" si="43"/>
        <v>13</v>
      </c>
      <c r="E123" s="13">
        <f t="shared" si="44"/>
        <v>7</v>
      </c>
      <c r="F123" s="13">
        <f t="shared" si="45"/>
        <v>6</v>
      </c>
      <c r="G123" s="13">
        <f t="shared" si="46"/>
        <v>0</v>
      </c>
      <c r="H123" s="13">
        <f t="shared" si="47"/>
        <v>0</v>
      </c>
      <c r="I123" s="13">
        <f t="shared" si="48"/>
        <v>1</v>
      </c>
      <c r="J123" s="13">
        <f t="shared" si="49"/>
        <v>0</v>
      </c>
      <c r="K123" s="13" t="b">
        <f t="shared" si="36"/>
        <v>0</v>
      </c>
      <c r="L123" s="59" t="str">
        <f t="shared" si="37"/>
        <v/>
      </c>
      <c r="M123" s="10"/>
      <c r="N123" s="8"/>
      <c r="O123" s="9" t="str">
        <f>IF(ISBLANK($N123),"",VLOOKUP($N123,List!$B$1:$F$2000,2,0))</f>
        <v/>
      </c>
      <c r="P123" s="10" t="str">
        <f>IF(ISBLANK($N123),"",VLOOKUP($N123,List!$B$1:$F$2000,3,0))</f>
        <v/>
      </c>
      <c r="Q123" s="10" t="str">
        <f>IF(ISBLANK($N123),"",VLOOKUP($N123,List!$B$1:$F$2000,4,0))</f>
        <v/>
      </c>
      <c r="R123" s="11" t="str">
        <f>IF(ISBLANK($N123),"",VLOOKUP($N123,List!$B$1:$F$2000,5,0))</f>
        <v/>
      </c>
      <c r="S123" s="61" t="str">
        <f t="shared" si="38"/>
        <v/>
      </c>
      <c r="T123" s="16" t="str">
        <f t="shared" si="39"/>
        <v/>
      </c>
      <c r="U123" s="7"/>
      <c r="V123" t="s">
        <v>26</v>
      </c>
      <c r="X123" s="39"/>
    </row>
    <row r="124" spans="1:24" x14ac:dyDescent="0.2">
      <c r="A124" s="13">
        <f t="shared" si="40"/>
        <v>9</v>
      </c>
      <c r="B124" s="13">
        <f t="shared" si="41"/>
        <v>9</v>
      </c>
      <c r="C124" s="13">
        <f t="shared" si="42"/>
        <v>6</v>
      </c>
      <c r="D124" s="13">
        <f t="shared" si="43"/>
        <v>13</v>
      </c>
      <c r="E124" s="13">
        <f t="shared" si="44"/>
        <v>7</v>
      </c>
      <c r="F124" s="13">
        <f t="shared" si="45"/>
        <v>6</v>
      </c>
      <c r="G124" s="13">
        <f t="shared" si="46"/>
        <v>0</v>
      </c>
      <c r="H124" s="13">
        <f t="shared" si="47"/>
        <v>0</v>
      </c>
      <c r="I124" s="13">
        <f t="shared" si="48"/>
        <v>1</v>
      </c>
      <c r="J124" s="13">
        <f t="shared" si="49"/>
        <v>0</v>
      </c>
      <c r="K124" s="13" t="b">
        <f t="shared" si="36"/>
        <v>0</v>
      </c>
      <c r="L124" s="59" t="str">
        <f t="shared" si="37"/>
        <v/>
      </c>
      <c r="M124" s="10"/>
      <c r="N124" s="8"/>
      <c r="O124" s="9" t="str">
        <f>IF(ISBLANK($N124),"",VLOOKUP($N124,List!$B$1:$F$2000,2,0))</f>
        <v/>
      </c>
      <c r="P124" s="10" t="str">
        <f>IF(ISBLANK($N124),"",VLOOKUP($N124,List!$B$1:$F$2000,3,0))</f>
        <v/>
      </c>
      <c r="Q124" s="10" t="str">
        <f>IF(ISBLANK($N124),"",VLOOKUP($N124,List!$B$1:$F$2000,4,0))</f>
        <v/>
      </c>
      <c r="R124" s="11" t="str">
        <f>IF(ISBLANK($N124),"",VLOOKUP($N124,List!$B$1:$F$2000,5,0))</f>
        <v/>
      </c>
      <c r="S124" s="61" t="str">
        <f t="shared" si="38"/>
        <v/>
      </c>
      <c r="T124" s="16" t="str">
        <f t="shared" si="39"/>
        <v/>
      </c>
      <c r="U124" s="7"/>
      <c r="V124" t="s">
        <v>26</v>
      </c>
      <c r="X124" s="39"/>
    </row>
    <row r="125" spans="1:24" x14ac:dyDescent="0.2">
      <c r="A125" s="13">
        <f t="shared" si="40"/>
        <v>9</v>
      </c>
      <c r="B125" s="13">
        <f t="shared" si="41"/>
        <v>9</v>
      </c>
      <c r="C125" s="13">
        <f t="shared" si="42"/>
        <v>6</v>
      </c>
      <c r="D125" s="13">
        <f t="shared" si="43"/>
        <v>13</v>
      </c>
      <c r="E125" s="13">
        <f t="shared" si="44"/>
        <v>7</v>
      </c>
      <c r="F125" s="13">
        <f t="shared" si="45"/>
        <v>6</v>
      </c>
      <c r="G125" s="13">
        <f t="shared" si="46"/>
        <v>0</v>
      </c>
      <c r="H125" s="13">
        <f t="shared" si="47"/>
        <v>0</v>
      </c>
      <c r="I125" s="13">
        <f t="shared" si="48"/>
        <v>1</v>
      </c>
      <c r="J125" s="13">
        <f t="shared" si="49"/>
        <v>0</v>
      </c>
      <c r="K125" s="13" t="b">
        <f t="shared" si="36"/>
        <v>0</v>
      </c>
      <c r="L125" s="59" t="str">
        <f t="shared" si="37"/>
        <v/>
      </c>
      <c r="M125" s="10"/>
      <c r="N125" s="8"/>
      <c r="O125" s="9" t="str">
        <f>IF(ISBLANK($N125),"",VLOOKUP($N125,List!$B$1:$F$2000,2,0))</f>
        <v/>
      </c>
      <c r="P125" s="10" t="str">
        <f>IF(ISBLANK($N125),"",VLOOKUP($N125,List!$B$1:$F$2000,3,0))</f>
        <v/>
      </c>
      <c r="Q125" s="10" t="str">
        <f>IF(ISBLANK($N125),"",VLOOKUP($N125,List!$B$1:$F$2000,4,0))</f>
        <v/>
      </c>
      <c r="R125" s="11" t="str">
        <f>IF(ISBLANK($N125),"",VLOOKUP($N125,List!$B$1:$F$2000,5,0))</f>
        <v/>
      </c>
      <c r="S125" s="61" t="str">
        <f t="shared" si="38"/>
        <v/>
      </c>
      <c r="T125" s="16" t="str">
        <f t="shared" si="39"/>
        <v/>
      </c>
      <c r="U125" s="7"/>
      <c r="V125" t="s">
        <v>26</v>
      </c>
      <c r="X125" s="39"/>
    </row>
    <row r="126" spans="1:24" x14ac:dyDescent="0.2">
      <c r="A126" s="13">
        <f t="shared" si="40"/>
        <v>9</v>
      </c>
      <c r="B126" s="13">
        <f t="shared" si="41"/>
        <v>9</v>
      </c>
      <c r="C126" s="13">
        <f t="shared" si="42"/>
        <v>6</v>
      </c>
      <c r="D126" s="13">
        <f t="shared" si="43"/>
        <v>13</v>
      </c>
      <c r="E126" s="13">
        <f t="shared" si="44"/>
        <v>7</v>
      </c>
      <c r="F126" s="13">
        <f t="shared" si="45"/>
        <v>6</v>
      </c>
      <c r="G126" s="13">
        <f t="shared" si="46"/>
        <v>0</v>
      </c>
      <c r="H126" s="13">
        <f t="shared" si="47"/>
        <v>0</v>
      </c>
      <c r="I126" s="13">
        <f t="shared" si="48"/>
        <v>1</v>
      </c>
      <c r="J126" s="13">
        <f t="shared" si="49"/>
        <v>0</v>
      </c>
      <c r="K126" s="13" t="b">
        <f t="shared" si="36"/>
        <v>0</v>
      </c>
      <c r="L126" s="59" t="str">
        <f t="shared" si="37"/>
        <v/>
      </c>
      <c r="M126" s="10"/>
      <c r="N126" s="8"/>
      <c r="O126" s="9" t="str">
        <f>IF(ISBLANK($N126),"",VLOOKUP($N126,List!$B$1:$F$2000,2,0))</f>
        <v/>
      </c>
      <c r="P126" s="10" t="str">
        <f>IF(ISBLANK($N126),"",VLOOKUP($N126,List!$B$1:$F$2000,3,0))</f>
        <v/>
      </c>
      <c r="Q126" s="10" t="str">
        <f>IF(ISBLANK($N126),"",VLOOKUP($N126,List!$B$1:$F$2000,4,0))</f>
        <v/>
      </c>
      <c r="R126" s="11" t="str">
        <f>IF(ISBLANK($N126),"",VLOOKUP($N126,List!$B$1:$F$2000,5,0))</f>
        <v/>
      </c>
      <c r="S126" s="61" t="str">
        <f t="shared" si="38"/>
        <v/>
      </c>
      <c r="T126" s="16" t="str">
        <f t="shared" si="39"/>
        <v/>
      </c>
      <c r="U126" s="7"/>
      <c r="V126" t="s">
        <v>26</v>
      </c>
      <c r="X126" s="39"/>
    </row>
    <row r="127" spans="1:24" x14ac:dyDescent="0.2">
      <c r="A127" s="13">
        <f t="shared" si="40"/>
        <v>9</v>
      </c>
      <c r="B127" s="13">
        <f t="shared" si="41"/>
        <v>9</v>
      </c>
      <c r="C127" s="13">
        <f t="shared" si="42"/>
        <v>6</v>
      </c>
      <c r="D127" s="13">
        <f t="shared" si="43"/>
        <v>13</v>
      </c>
      <c r="E127" s="13">
        <f t="shared" si="44"/>
        <v>7</v>
      </c>
      <c r="F127" s="13">
        <f t="shared" si="45"/>
        <v>6</v>
      </c>
      <c r="G127" s="13">
        <f t="shared" si="46"/>
        <v>0</v>
      </c>
      <c r="H127" s="13">
        <f t="shared" si="47"/>
        <v>0</v>
      </c>
      <c r="I127" s="13">
        <f t="shared" si="48"/>
        <v>1</v>
      </c>
      <c r="J127" s="13">
        <f t="shared" si="49"/>
        <v>0</v>
      </c>
      <c r="K127" s="13" t="b">
        <f t="shared" si="36"/>
        <v>0</v>
      </c>
      <c r="L127" s="59" t="str">
        <f t="shared" si="37"/>
        <v/>
      </c>
      <c r="M127" s="10"/>
      <c r="N127" s="8"/>
      <c r="O127" s="9" t="str">
        <f>IF(ISBLANK($N127),"",VLOOKUP($N127,List!$B$1:$F$2000,2,0))</f>
        <v/>
      </c>
      <c r="P127" s="10" t="str">
        <f>IF(ISBLANK($N127),"",VLOOKUP($N127,List!$B$1:$F$2000,3,0))</f>
        <v/>
      </c>
      <c r="Q127" s="10" t="str">
        <f>IF(ISBLANK($N127),"",VLOOKUP($N127,List!$B$1:$F$2000,4,0))</f>
        <v/>
      </c>
      <c r="R127" s="11" t="str">
        <f>IF(ISBLANK($N127),"",VLOOKUP($N127,List!$B$1:$F$2000,5,0))</f>
        <v/>
      </c>
      <c r="S127" s="61" t="str">
        <f t="shared" si="38"/>
        <v/>
      </c>
      <c r="T127" s="16" t="str">
        <f t="shared" si="39"/>
        <v/>
      </c>
      <c r="U127" s="7"/>
      <c r="V127" t="s">
        <v>26</v>
      </c>
      <c r="X127" s="39"/>
    </row>
    <row r="128" spans="1:24" x14ac:dyDescent="0.2">
      <c r="A128" s="13">
        <f t="shared" si="40"/>
        <v>9</v>
      </c>
      <c r="B128" s="13">
        <f t="shared" si="41"/>
        <v>9</v>
      </c>
      <c r="C128" s="13">
        <f t="shared" si="42"/>
        <v>6</v>
      </c>
      <c r="D128" s="13">
        <f t="shared" si="43"/>
        <v>13</v>
      </c>
      <c r="E128" s="13">
        <f t="shared" si="44"/>
        <v>7</v>
      </c>
      <c r="F128" s="13">
        <f t="shared" si="45"/>
        <v>6</v>
      </c>
      <c r="G128" s="13">
        <f t="shared" si="46"/>
        <v>0</v>
      </c>
      <c r="H128" s="13">
        <f t="shared" si="47"/>
        <v>0</v>
      </c>
      <c r="I128" s="13">
        <f t="shared" si="48"/>
        <v>1</v>
      </c>
      <c r="J128" s="13">
        <f t="shared" si="49"/>
        <v>0</v>
      </c>
      <c r="K128" s="13" t="b">
        <f t="shared" si="36"/>
        <v>0</v>
      </c>
      <c r="L128" s="59" t="str">
        <f t="shared" si="37"/>
        <v/>
      </c>
      <c r="M128" s="10"/>
      <c r="N128" s="8"/>
      <c r="O128" s="9" t="str">
        <f>IF(ISBLANK($N128),"",VLOOKUP($N128,List!$B$1:$F$2000,2,0))</f>
        <v/>
      </c>
      <c r="P128" s="10" t="str">
        <f>IF(ISBLANK($N128),"",VLOOKUP($N128,List!$B$1:$F$2000,3,0))</f>
        <v/>
      </c>
      <c r="Q128" s="10" t="str">
        <f>IF(ISBLANK($N128),"",VLOOKUP($N128,List!$B$1:$F$2000,4,0))</f>
        <v/>
      </c>
      <c r="R128" s="11" t="str">
        <f>IF(ISBLANK($N128),"",VLOOKUP($N128,List!$B$1:$F$2000,5,0))</f>
        <v/>
      </c>
      <c r="S128" s="61" t="str">
        <f t="shared" si="38"/>
        <v/>
      </c>
      <c r="T128" s="16" t="str">
        <f t="shared" si="39"/>
        <v/>
      </c>
      <c r="U128" s="7"/>
      <c r="V128" t="s">
        <v>26</v>
      </c>
      <c r="X128" s="39"/>
    </row>
    <row r="129" spans="1:24" x14ac:dyDescent="0.2">
      <c r="A129" s="13">
        <f t="shared" si="40"/>
        <v>9</v>
      </c>
      <c r="B129" s="13">
        <f t="shared" si="41"/>
        <v>9</v>
      </c>
      <c r="C129" s="13">
        <f t="shared" si="42"/>
        <v>6</v>
      </c>
      <c r="D129" s="13">
        <f t="shared" si="43"/>
        <v>13</v>
      </c>
      <c r="E129" s="13">
        <f t="shared" si="44"/>
        <v>7</v>
      </c>
      <c r="F129" s="13">
        <f t="shared" si="45"/>
        <v>6</v>
      </c>
      <c r="G129" s="13">
        <f t="shared" si="46"/>
        <v>0</v>
      </c>
      <c r="H129" s="13">
        <f t="shared" si="47"/>
        <v>0</v>
      </c>
      <c r="I129" s="13">
        <f t="shared" si="48"/>
        <v>1</v>
      </c>
      <c r="J129" s="13">
        <f t="shared" si="49"/>
        <v>0</v>
      </c>
      <c r="K129" s="13" t="b">
        <f t="shared" si="36"/>
        <v>0</v>
      </c>
      <c r="L129" s="59" t="str">
        <f t="shared" si="37"/>
        <v/>
      </c>
      <c r="M129" s="10"/>
      <c r="N129" s="8"/>
      <c r="O129" s="51" t="str">
        <f>IF(ISBLANK($N129),"",VLOOKUP($N129,List!$B$1:$F$2000,2,0))</f>
        <v/>
      </c>
      <c r="P129" s="10" t="str">
        <f>IF(ISBLANK($N129),"",VLOOKUP($N129,List!$B$1:$F$2000,3,0))</f>
        <v/>
      </c>
      <c r="Q129" s="10" t="str">
        <f>IF(ISBLANK($N129),"",VLOOKUP($N129,List!$B$1:$F$2000,4,0))</f>
        <v/>
      </c>
      <c r="R129" s="11" t="str">
        <f>IF(ISBLANK($N129),"",VLOOKUP($N129,List!$B$1:$F$2000,5,0))</f>
        <v/>
      </c>
      <c r="S129" s="61" t="str">
        <f t="shared" si="38"/>
        <v/>
      </c>
      <c r="T129" s="16" t="str">
        <f t="shared" si="39"/>
        <v/>
      </c>
      <c r="U129" s="7"/>
      <c r="V129" t="s">
        <v>26</v>
      </c>
      <c r="X129" s="39"/>
    </row>
    <row r="130" spans="1:24" x14ac:dyDescent="0.2">
      <c r="A130" s="13">
        <f t="shared" si="40"/>
        <v>9</v>
      </c>
      <c r="B130" s="13">
        <f t="shared" si="41"/>
        <v>9</v>
      </c>
      <c r="C130" s="13">
        <f t="shared" si="42"/>
        <v>6</v>
      </c>
      <c r="D130" s="13">
        <f t="shared" si="43"/>
        <v>13</v>
      </c>
      <c r="E130" s="13">
        <f t="shared" si="44"/>
        <v>7</v>
      </c>
      <c r="F130" s="13">
        <f t="shared" si="45"/>
        <v>6</v>
      </c>
      <c r="G130" s="13">
        <f t="shared" si="46"/>
        <v>0</v>
      </c>
      <c r="H130" s="13">
        <f t="shared" si="47"/>
        <v>0</v>
      </c>
      <c r="I130" s="13">
        <f t="shared" si="48"/>
        <v>1</v>
      </c>
      <c r="J130" s="13">
        <f t="shared" si="49"/>
        <v>0</v>
      </c>
      <c r="K130" s="13" t="b">
        <f t="shared" si="36"/>
        <v>0</v>
      </c>
      <c r="L130" s="59" t="str">
        <f t="shared" si="37"/>
        <v/>
      </c>
      <c r="M130" s="10"/>
      <c r="N130" s="66"/>
      <c r="O130" s="9" t="str">
        <f>IF(ISBLANK($N130),"",VLOOKUP($N130,List!$B$1:$F$2000,2,0))</f>
        <v/>
      </c>
      <c r="P130" s="10" t="str">
        <f>IF(ISBLANK($N130),"",VLOOKUP($N130,List!$B$1:$F$2000,3,0))</f>
        <v/>
      </c>
      <c r="Q130" s="10" t="str">
        <f>IF(ISBLANK($N130),"",VLOOKUP($N130,List!$B$1:$F$2000,4,0))</f>
        <v/>
      </c>
      <c r="R130" s="11" t="str">
        <f>IF(ISBLANK($N130),"",VLOOKUP($N130,List!$B$1:$F$2000,5,0))</f>
        <v/>
      </c>
      <c r="S130" s="61" t="str">
        <f t="shared" si="38"/>
        <v/>
      </c>
      <c r="T130" s="16" t="str">
        <f t="shared" si="39"/>
        <v/>
      </c>
      <c r="U130" s="7"/>
      <c r="V130" t="s">
        <v>26</v>
      </c>
      <c r="X130" s="39"/>
    </row>
    <row r="131" spans="1:24" x14ac:dyDescent="0.2">
      <c r="A131" s="13">
        <f t="shared" ref="A131:A162" si="50">IF(AND($K131,$S131&lt;$C$1,$S131&gt;=$A$1,$R131="Мужской"),A130+1,A130)</f>
        <v>9</v>
      </c>
      <c r="B131" s="13">
        <f t="shared" ref="B131:B162" si="51">IF(AND($K131,$S131&lt;$D$1,$S131&gt;=$B$1,$R131="Женский"),B130+1,B130)</f>
        <v>9</v>
      </c>
      <c r="C131" s="13">
        <f t="shared" ref="C131:C162" si="52">IF(AND($K131,$S131&lt;$E$1,$S131&gt;=$C$1,$R131="Мужской"),C130+1,C130)</f>
        <v>6</v>
      </c>
      <c r="D131" s="13">
        <f t="shared" ref="D131:D162" si="53">IF(AND($K131,$S131&lt;$F$1,$S131&gt;=$D$1,$R131="Женский"),D130+1,D130)</f>
        <v>13</v>
      </c>
      <c r="E131" s="13">
        <f t="shared" ref="E131:E162" si="54">IF(AND($K131,$S131&lt;$G$1,$S131&gt;=$E$1,$R131="Мужской"),E130+1,E130)</f>
        <v>7</v>
      </c>
      <c r="F131" s="13">
        <f t="shared" ref="F131:F162" si="55">IF(AND($K131,$S131&lt;$H$1,$S131&gt;=$F$1,$R131="Женский"),F130+1,F130)</f>
        <v>6</v>
      </c>
      <c r="G131" s="13">
        <f t="shared" ref="G131:G162" si="56">IF(AND($K131,$S131&lt;$I$1,$S131&gt;=$G$1,$R131="Мужской"),G130+1,G130)</f>
        <v>0</v>
      </c>
      <c r="H131" s="13">
        <f t="shared" ref="H131:H162" si="57">IF(AND($K131,$S131&lt;$J$1,$S131&gt;=$H$1,$R131="Женский"),H130+1,H130)</f>
        <v>0</v>
      </c>
      <c r="I131" s="13">
        <f t="shared" ref="I131:I162" si="58">IF(AND($K131,$S131&lt;$K$1,$S131&gt;=$I$1,$R131="Мужской"),I130+1,I130)</f>
        <v>1</v>
      </c>
      <c r="J131" s="13">
        <f t="shared" ref="J131:J162" si="59">IF(AND($K131,$S131&lt;$K169,$S131&gt;=$J$1,$R131="Женский"),J130+1,J130)</f>
        <v>0</v>
      </c>
      <c r="K131" s="13" t="b">
        <f t="shared" si="36"/>
        <v>0</v>
      </c>
      <c r="L131" s="59" t="str">
        <f t="shared" si="37"/>
        <v/>
      </c>
      <c r="M131" s="10"/>
      <c r="N131" s="8"/>
      <c r="O131" s="9" t="str">
        <f>IF(ISBLANK($N131),"",VLOOKUP($N131,List!$B$1:$F$2000,2,0))</f>
        <v/>
      </c>
      <c r="P131" s="10" t="str">
        <f>IF(ISBLANK($N131),"",VLOOKUP($N131,List!$B$1:$F$2000,3,0))</f>
        <v/>
      </c>
      <c r="Q131" s="10" t="str">
        <f>IF(ISBLANK($N131),"",VLOOKUP($N131,List!$B$1:$F$2000,4,0))</f>
        <v/>
      </c>
      <c r="R131" s="11" t="str">
        <f>IF(ISBLANK($N131),"",VLOOKUP($N131,List!$B$1:$F$2000,5,0))</f>
        <v/>
      </c>
      <c r="S131" s="61" t="str">
        <f t="shared" si="38"/>
        <v/>
      </c>
      <c r="T131" s="16" t="str">
        <f t="shared" si="39"/>
        <v/>
      </c>
      <c r="U131" s="7"/>
      <c r="V131" t="s">
        <v>26</v>
      </c>
      <c r="X131" s="39"/>
    </row>
    <row r="132" spans="1:24" x14ac:dyDescent="0.2">
      <c r="A132" s="13">
        <f t="shared" si="50"/>
        <v>9</v>
      </c>
      <c r="B132" s="13">
        <f t="shared" si="51"/>
        <v>9</v>
      </c>
      <c r="C132" s="13">
        <f t="shared" si="52"/>
        <v>6</v>
      </c>
      <c r="D132" s="13">
        <f t="shared" si="53"/>
        <v>13</v>
      </c>
      <c r="E132" s="13">
        <f t="shared" si="54"/>
        <v>7</v>
      </c>
      <c r="F132" s="13">
        <f t="shared" si="55"/>
        <v>6</v>
      </c>
      <c r="G132" s="13">
        <f t="shared" si="56"/>
        <v>0</v>
      </c>
      <c r="H132" s="13">
        <f t="shared" si="57"/>
        <v>0</v>
      </c>
      <c r="I132" s="13">
        <f t="shared" si="58"/>
        <v>1</v>
      </c>
      <c r="J132" s="13">
        <f t="shared" si="59"/>
        <v>0</v>
      </c>
      <c r="K132" s="13" t="b">
        <f t="shared" ref="K132:K195" si="60">NOT(ISBLANK($M132))</f>
        <v>0</v>
      </c>
      <c r="L132" s="59" t="str">
        <f t="shared" ref="L132:L195" si="61">IF(ISBLANK($N132),"",ROW()-2)</f>
        <v/>
      </c>
      <c r="M132" s="10"/>
      <c r="N132" s="8"/>
      <c r="O132" s="9" t="str">
        <f>IF(ISBLANK($N132),"",VLOOKUP($N132,List!$B$1:$F$2000,2,0))</f>
        <v/>
      </c>
      <c r="P132" s="10" t="str">
        <f>IF(ISBLANK($N132),"",VLOOKUP($N132,List!$B$1:$F$2000,3,0))</f>
        <v/>
      </c>
      <c r="Q132" s="10" t="str">
        <f>IF(ISBLANK($N132),"",VLOOKUP($N132,List!$B$1:$F$2000,4,0))</f>
        <v/>
      </c>
      <c r="R132" s="11" t="str">
        <f>IF(ISBLANK($N132),"",VLOOKUP($N132,List!$B$1:$F$2000,5,0))</f>
        <v/>
      </c>
      <c r="S132" s="61" t="str">
        <f t="shared" ref="S132:S195" si="62">IF($O132="","",($T$1-$T132))</f>
        <v/>
      </c>
      <c r="T132" s="16" t="str">
        <f t="shared" ref="T132:T195" si="63">IF($O132="","",YEAR($O132))</f>
        <v/>
      </c>
      <c r="U132" s="7"/>
      <c r="V132" t="s">
        <v>26</v>
      </c>
      <c r="X132" s="39"/>
    </row>
    <row r="133" spans="1:24" x14ac:dyDescent="0.2">
      <c r="A133" s="13">
        <f t="shared" si="50"/>
        <v>9</v>
      </c>
      <c r="B133" s="13">
        <f t="shared" si="51"/>
        <v>9</v>
      </c>
      <c r="C133" s="13">
        <f t="shared" si="52"/>
        <v>6</v>
      </c>
      <c r="D133" s="13">
        <f t="shared" si="53"/>
        <v>13</v>
      </c>
      <c r="E133" s="13">
        <f t="shared" si="54"/>
        <v>7</v>
      </c>
      <c r="F133" s="13">
        <f t="shared" si="55"/>
        <v>6</v>
      </c>
      <c r="G133" s="13">
        <f t="shared" si="56"/>
        <v>0</v>
      </c>
      <c r="H133" s="13">
        <f t="shared" si="57"/>
        <v>0</v>
      </c>
      <c r="I133" s="13">
        <f t="shared" si="58"/>
        <v>1</v>
      </c>
      <c r="J133" s="13">
        <f t="shared" si="59"/>
        <v>0</v>
      </c>
      <c r="K133" s="13" t="b">
        <f t="shared" si="60"/>
        <v>0</v>
      </c>
      <c r="L133" s="59" t="str">
        <f t="shared" si="61"/>
        <v/>
      </c>
      <c r="M133" s="10"/>
      <c r="N133" s="8"/>
      <c r="O133" s="9" t="str">
        <f>IF(ISBLANK($N133),"",VLOOKUP($N133,List!$B$1:$F$2000,2,0))</f>
        <v/>
      </c>
      <c r="P133" s="10" t="str">
        <f>IF(ISBLANK($N133),"",VLOOKUP($N133,List!$B$1:$F$2000,3,0))</f>
        <v/>
      </c>
      <c r="Q133" s="10" t="str">
        <f>IF(ISBLANK($N133),"",VLOOKUP($N133,List!$B$1:$F$2000,4,0))</f>
        <v/>
      </c>
      <c r="R133" s="11" t="str">
        <f>IF(ISBLANK($N133),"",VLOOKUP($N133,List!$B$1:$F$2000,5,0))</f>
        <v/>
      </c>
      <c r="S133" s="61" t="str">
        <f t="shared" si="62"/>
        <v/>
      </c>
      <c r="T133" s="16" t="str">
        <f t="shared" si="63"/>
        <v/>
      </c>
      <c r="U133" s="7"/>
      <c r="V133" t="s">
        <v>26</v>
      </c>
      <c r="X133" s="39"/>
    </row>
    <row r="134" spans="1:24" x14ac:dyDescent="0.2">
      <c r="A134" s="13">
        <f t="shared" si="50"/>
        <v>9</v>
      </c>
      <c r="B134" s="13">
        <f t="shared" si="51"/>
        <v>9</v>
      </c>
      <c r="C134" s="13">
        <f t="shared" si="52"/>
        <v>6</v>
      </c>
      <c r="D134" s="13">
        <f t="shared" si="53"/>
        <v>13</v>
      </c>
      <c r="E134" s="13">
        <f t="shared" si="54"/>
        <v>7</v>
      </c>
      <c r="F134" s="13">
        <f t="shared" si="55"/>
        <v>6</v>
      </c>
      <c r="G134" s="13">
        <f t="shared" si="56"/>
        <v>0</v>
      </c>
      <c r="H134" s="13">
        <f t="shared" si="57"/>
        <v>0</v>
      </c>
      <c r="I134" s="13">
        <f t="shared" si="58"/>
        <v>1</v>
      </c>
      <c r="J134" s="13">
        <f t="shared" si="59"/>
        <v>0</v>
      </c>
      <c r="K134" s="13" t="b">
        <f t="shared" si="60"/>
        <v>0</v>
      </c>
      <c r="L134" s="59" t="str">
        <f t="shared" si="61"/>
        <v/>
      </c>
      <c r="M134" s="10"/>
      <c r="N134" s="8"/>
      <c r="O134" s="9" t="str">
        <f>IF(ISBLANK($N134),"",VLOOKUP($N134,List!$B$1:$F$2000,2,0))</f>
        <v/>
      </c>
      <c r="P134" s="10" t="str">
        <f>IF(ISBLANK($N134),"",VLOOKUP($N134,List!$B$1:$F$2000,3,0))</f>
        <v/>
      </c>
      <c r="Q134" s="10" t="str">
        <f>IF(ISBLANK($N134),"",VLOOKUP($N134,List!$B$1:$F$2000,4,0))</f>
        <v/>
      </c>
      <c r="R134" s="11" t="str">
        <f>IF(ISBLANK($N134),"",VLOOKUP($N134,List!$B$1:$F$2000,5,0))</f>
        <v/>
      </c>
      <c r="S134" s="61" t="str">
        <f t="shared" si="62"/>
        <v/>
      </c>
      <c r="T134" s="16" t="str">
        <f t="shared" si="63"/>
        <v/>
      </c>
      <c r="U134" s="7"/>
      <c r="V134" t="s">
        <v>26</v>
      </c>
      <c r="X134" s="39"/>
    </row>
    <row r="135" spans="1:24" x14ac:dyDescent="0.2">
      <c r="A135" s="13">
        <f t="shared" si="50"/>
        <v>9</v>
      </c>
      <c r="B135" s="13">
        <f t="shared" si="51"/>
        <v>9</v>
      </c>
      <c r="C135" s="13">
        <f t="shared" si="52"/>
        <v>6</v>
      </c>
      <c r="D135" s="13">
        <f t="shared" si="53"/>
        <v>13</v>
      </c>
      <c r="E135" s="13">
        <f t="shared" si="54"/>
        <v>7</v>
      </c>
      <c r="F135" s="13">
        <f t="shared" si="55"/>
        <v>6</v>
      </c>
      <c r="G135" s="13">
        <f t="shared" si="56"/>
        <v>0</v>
      </c>
      <c r="H135" s="13">
        <f t="shared" si="57"/>
        <v>0</v>
      </c>
      <c r="I135" s="13">
        <f t="shared" si="58"/>
        <v>1</v>
      </c>
      <c r="J135" s="13">
        <f t="shared" si="59"/>
        <v>0</v>
      </c>
      <c r="K135" s="13" t="b">
        <f t="shared" si="60"/>
        <v>0</v>
      </c>
      <c r="L135" s="59" t="str">
        <f t="shared" si="61"/>
        <v/>
      </c>
      <c r="M135" s="10"/>
      <c r="N135" s="8"/>
      <c r="O135" s="9" t="str">
        <f>IF(ISBLANK($N135),"",VLOOKUP($N135,List!$B$1:$F$2000,2,0))</f>
        <v/>
      </c>
      <c r="P135" s="10" t="str">
        <f>IF(ISBLANK($N135),"",VLOOKUP($N135,List!$B$1:$F$2000,3,0))</f>
        <v/>
      </c>
      <c r="Q135" s="10" t="str">
        <f>IF(ISBLANK($N135),"",VLOOKUP($N135,List!$B$1:$F$2000,4,0))</f>
        <v/>
      </c>
      <c r="R135" s="11" t="str">
        <f>IF(ISBLANK($N135),"",VLOOKUP($N135,List!$B$1:$F$2000,5,0))</f>
        <v/>
      </c>
      <c r="S135" s="61" t="str">
        <f t="shared" si="62"/>
        <v/>
      </c>
      <c r="T135" s="16" t="str">
        <f t="shared" si="63"/>
        <v/>
      </c>
      <c r="U135" s="7"/>
      <c r="V135" t="s">
        <v>26</v>
      </c>
      <c r="X135" s="39"/>
    </row>
    <row r="136" spans="1:24" x14ac:dyDescent="0.2">
      <c r="A136" s="13">
        <f t="shared" si="50"/>
        <v>9</v>
      </c>
      <c r="B136" s="13">
        <f t="shared" si="51"/>
        <v>9</v>
      </c>
      <c r="C136" s="13">
        <f t="shared" si="52"/>
        <v>6</v>
      </c>
      <c r="D136" s="13">
        <f t="shared" si="53"/>
        <v>13</v>
      </c>
      <c r="E136" s="13">
        <f t="shared" si="54"/>
        <v>7</v>
      </c>
      <c r="F136" s="13">
        <f t="shared" si="55"/>
        <v>6</v>
      </c>
      <c r="G136" s="13">
        <f t="shared" si="56"/>
        <v>0</v>
      </c>
      <c r="H136" s="13">
        <f t="shared" si="57"/>
        <v>0</v>
      </c>
      <c r="I136" s="13">
        <f t="shared" si="58"/>
        <v>1</v>
      </c>
      <c r="J136" s="13">
        <f t="shared" si="59"/>
        <v>0</v>
      </c>
      <c r="K136" s="13" t="b">
        <f t="shared" si="60"/>
        <v>0</v>
      </c>
      <c r="L136" s="59" t="str">
        <f t="shared" si="61"/>
        <v/>
      </c>
      <c r="M136" s="10"/>
      <c r="N136" s="8"/>
      <c r="O136" s="9" t="str">
        <f>IF(ISBLANK($N136),"",VLOOKUP($N136,List!$B$1:$F$2000,2,0))</f>
        <v/>
      </c>
      <c r="P136" s="10" t="str">
        <f>IF(ISBLANK($N136),"",VLOOKUP($N136,List!$B$1:$F$2000,3,0))</f>
        <v/>
      </c>
      <c r="Q136" s="10" t="str">
        <f>IF(ISBLANK($N136),"",VLOOKUP($N136,List!$B$1:$F$2000,4,0))</f>
        <v/>
      </c>
      <c r="R136" s="11" t="str">
        <f>IF(ISBLANK($N136),"",VLOOKUP($N136,List!$B$1:$F$2000,5,0))</f>
        <v/>
      </c>
      <c r="S136" s="61" t="str">
        <f t="shared" si="62"/>
        <v/>
      </c>
      <c r="T136" s="16" t="str">
        <f t="shared" si="63"/>
        <v/>
      </c>
      <c r="U136" s="7"/>
      <c r="V136" t="s">
        <v>26</v>
      </c>
      <c r="X136" s="39"/>
    </row>
    <row r="137" spans="1:24" x14ac:dyDescent="0.2">
      <c r="A137" s="13">
        <f t="shared" si="50"/>
        <v>9</v>
      </c>
      <c r="B137" s="13">
        <f t="shared" si="51"/>
        <v>9</v>
      </c>
      <c r="C137" s="13">
        <f t="shared" si="52"/>
        <v>6</v>
      </c>
      <c r="D137" s="13">
        <f t="shared" si="53"/>
        <v>13</v>
      </c>
      <c r="E137" s="13">
        <f t="shared" si="54"/>
        <v>7</v>
      </c>
      <c r="F137" s="13">
        <f t="shared" si="55"/>
        <v>6</v>
      </c>
      <c r="G137" s="13">
        <f t="shared" si="56"/>
        <v>0</v>
      </c>
      <c r="H137" s="13">
        <f t="shared" si="57"/>
        <v>0</v>
      </c>
      <c r="I137" s="13">
        <f t="shared" si="58"/>
        <v>1</v>
      </c>
      <c r="J137" s="13">
        <f t="shared" si="59"/>
        <v>0</v>
      </c>
      <c r="K137" s="13" t="b">
        <f t="shared" si="60"/>
        <v>0</v>
      </c>
      <c r="L137" s="59" t="str">
        <f t="shared" si="61"/>
        <v/>
      </c>
      <c r="M137" s="10"/>
      <c r="N137" s="8"/>
      <c r="O137" s="9" t="str">
        <f>IF(ISBLANK($N137),"",VLOOKUP($N137,List!$B$1:$F$2000,2,0))</f>
        <v/>
      </c>
      <c r="P137" s="10" t="str">
        <f>IF(ISBLANK($N137),"",VLOOKUP($N137,List!$B$1:$F$2000,3,0))</f>
        <v/>
      </c>
      <c r="Q137" s="10" t="str">
        <f>IF(ISBLANK($N137),"",VLOOKUP($N137,List!$B$1:$F$2000,4,0))</f>
        <v/>
      </c>
      <c r="R137" s="11" t="str">
        <f>IF(ISBLANK($N137),"",VLOOKUP($N137,List!$B$1:$F$2000,5,0))</f>
        <v/>
      </c>
      <c r="S137" s="61" t="str">
        <f t="shared" si="62"/>
        <v/>
      </c>
      <c r="T137" s="16" t="str">
        <f t="shared" si="63"/>
        <v/>
      </c>
      <c r="U137" s="7"/>
      <c r="V137" t="s">
        <v>26</v>
      </c>
      <c r="X137" s="39"/>
    </row>
    <row r="138" spans="1:24" x14ac:dyDescent="0.2">
      <c r="A138" s="13">
        <f t="shared" si="50"/>
        <v>9</v>
      </c>
      <c r="B138" s="13">
        <f t="shared" si="51"/>
        <v>9</v>
      </c>
      <c r="C138" s="13">
        <f t="shared" si="52"/>
        <v>6</v>
      </c>
      <c r="D138" s="13">
        <f t="shared" si="53"/>
        <v>13</v>
      </c>
      <c r="E138" s="13">
        <f t="shared" si="54"/>
        <v>7</v>
      </c>
      <c r="F138" s="13">
        <f t="shared" si="55"/>
        <v>6</v>
      </c>
      <c r="G138" s="13">
        <f t="shared" si="56"/>
        <v>0</v>
      </c>
      <c r="H138" s="13">
        <f t="shared" si="57"/>
        <v>0</v>
      </c>
      <c r="I138" s="13">
        <f t="shared" si="58"/>
        <v>1</v>
      </c>
      <c r="J138" s="13">
        <f t="shared" si="59"/>
        <v>0</v>
      </c>
      <c r="K138" s="13" t="b">
        <f t="shared" si="60"/>
        <v>0</v>
      </c>
      <c r="L138" s="59" t="str">
        <f t="shared" si="61"/>
        <v/>
      </c>
      <c r="M138" s="10"/>
      <c r="N138" s="8"/>
      <c r="O138" s="9" t="str">
        <f>IF(ISBLANK($N138),"",VLOOKUP($N138,List!$B$1:$F$2000,2,0))</f>
        <v/>
      </c>
      <c r="P138" s="10" t="str">
        <f>IF(ISBLANK($N138),"",VLOOKUP($N138,List!$B$1:$F$2000,3,0))</f>
        <v/>
      </c>
      <c r="Q138" s="10" t="str">
        <f>IF(ISBLANK($N138),"",VLOOKUP($N138,List!$B$1:$F$2000,4,0))</f>
        <v/>
      </c>
      <c r="R138" s="11" t="str">
        <f>IF(ISBLANK($N138),"",VLOOKUP($N138,List!$B$1:$F$2000,5,0))</f>
        <v/>
      </c>
      <c r="S138" s="61" t="str">
        <f t="shared" si="62"/>
        <v/>
      </c>
      <c r="T138" s="16" t="str">
        <f t="shared" si="63"/>
        <v/>
      </c>
      <c r="U138" s="7"/>
      <c r="V138" t="s">
        <v>26</v>
      </c>
      <c r="X138" s="39"/>
    </row>
    <row r="139" spans="1:24" x14ac:dyDescent="0.2">
      <c r="A139" s="13">
        <f t="shared" si="50"/>
        <v>9</v>
      </c>
      <c r="B139" s="13">
        <f t="shared" si="51"/>
        <v>9</v>
      </c>
      <c r="C139" s="13">
        <f t="shared" si="52"/>
        <v>6</v>
      </c>
      <c r="D139" s="13">
        <f t="shared" si="53"/>
        <v>13</v>
      </c>
      <c r="E139" s="13">
        <f t="shared" si="54"/>
        <v>7</v>
      </c>
      <c r="F139" s="13">
        <f t="shared" si="55"/>
        <v>6</v>
      </c>
      <c r="G139" s="13">
        <f t="shared" si="56"/>
        <v>0</v>
      </c>
      <c r="H139" s="13">
        <f t="shared" si="57"/>
        <v>0</v>
      </c>
      <c r="I139" s="13">
        <f t="shared" si="58"/>
        <v>1</v>
      </c>
      <c r="J139" s="13">
        <f t="shared" si="59"/>
        <v>0</v>
      </c>
      <c r="K139" s="13" t="b">
        <f t="shared" si="60"/>
        <v>0</v>
      </c>
      <c r="L139" s="59" t="str">
        <f t="shared" si="61"/>
        <v/>
      </c>
      <c r="M139" s="10"/>
      <c r="N139" s="8"/>
      <c r="O139" s="9" t="str">
        <f>IF(ISBLANK($N139),"",VLOOKUP($N139,List!$B$1:$F$2000,2,0))</f>
        <v/>
      </c>
      <c r="P139" s="10" t="str">
        <f>IF(ISBLANK($N139),"",VLOOKUP($N139,List!$B$1:$F$2000,3,0))</f>
        <v/>
      </c>
      <c r="Q139" s="10" t="str">
        <f>IF(ISBLANK($N139),"",VLOOKUP($N139,List!$B$1:$F$2000,4,0))</f>
        <v/>
      </c>
      <c r="R139" s="11" t="str">
        <f>IF(ISBLANK($N139),"",VLOOKUP($N139,List!$B$1:$F$2000,5,0))</f>
        <v/>
      </c>
      <c r="S139" s="61" t="str">
        <f t="shared" si="62"/>
        <v/>
      </c>
      <c r="T139" s="16" t="str">
        <f t="shared" si="63"/>
        <v/>
      </c>
      <c r="U139" s="7"/>
      <c r="V139" t="s">
        <v>26</v>
      </c>
      <c r="X139" s="39"/>
    </row>
    <row r="140" spans="1:24" x14ac:dyDescent="0.2">
      <c r="A140" s="13">
        <f t="shared" si="50"/>
        <v>9</v>
      </c>
      <c r="B140" s="13">
        <f t="shared" si="51"/>
        <v>9</v>
      </c>
      <c r="C140" s="13">
        <f t="shared" si="52"/>
        <v>6</v>
      </c>
      <c r="D140" s="13">
        <f t="shared" si="53"/>
        <v>13</v>
      </c>
      <c r="E140" s="13">
        <f t="shared" si="54"/>
        <v>7</v>
      </c>
      <c r="F140" s="13">
        <f t="shared" si="55"/>
        <v>6</v>
      </c>
      <c r="G140" s="13">
        <f t="shared" si="56"/>
        <v>0</v>
      </c>
      <c r="H140" s="13">
        <f t="shared" si="57"/>
        <v>0</v>
      </c>
      <c r="I140" s="13">
        <f t="shared" si="58"/>
        <v>1</v>
      </c>
      <c r="J140" s="13">
        <f t="shared" si="59"/>
        <v>0</v>
      </c>
      <c r="K140" s="13" t="b">
        <f t="shared" si="60"/>
        <v>0</v>
      </c>
      <c r="L140" s="59" t="str">
        <f t="shared" si="61"/>
        <v/>
      </c>
      <c r="M140" s="10"/>
      <c r="N140" s="8"/>
      <c r="O140" s="9" t="str">
        <f>IF(ISBLANK($N140),"",VLOOKUP($N140,List!$B$1:$F$2000,2,0))</f>
        <v/>
      </c>
      <c r="P140" s="10" t="str">
        <f>IF(ISBLANK($N140),"",VLOOKUP($N140,List!$B$1:$F$2000,3,0))</f>
        <v/>
      </c>
      <c r="Q140" s="10" t="str">
        <f>IF(ISBLANK($N140),"",VLOOKUP($N140,List!$B$1:$F$2000,4,0))</f>
        <v/>
      </c>
      <c r="R140" s="11" t="str">
        <f>IF(ISBLANK($N140),"",VLOOKUP($N140,List!$B$1:$F$2000,5,0))</f>
        <v/>
      </c>
      <c r="S140" s="61" t="str">
        <f t="shared" si="62"/>
        <v/>
      </c>
      <c r="T140" s="16" t="str">
        <f t="shared" si="63"/>
        <v/>
      </c>
      <c r="U140" s="7"/>
      <c r="V140" t="s">
        <v>26</v>
      </c>
      <c r="X140" s="39"/>
    </row>
    <row r="141" spans="1:24" x14ac:dyDescent="0.2">
      <c r="A141" s="13">
        <f t="shared" si="50"/>
        <v>9</v>
      </c>
      <c r="B141" s="13">
        <f t="shared" si="51"/>
        <v>9</v>
      </c>
      <c r="C141" s="13">
        <f t="shared" si="52"/>
        <v>6</v>
      </c>
      <c r="D141" s="13">
        <f t="shared" si="53"/>
        <v>13</v>
      </c>
      <c r="E141" s="13">
        <f t="shared" si="54"/>
        <v>7</v>
      </c>
      <c r="F141" s="13">
        <f t="shared" si="55"/>
        <v>6</v>
      </c>
      <c r="G141" s="13">
        <f t="shared" si="56"/>
        <v>0</v>
      </c>
      <c r="H141" s="13">
        <f t="shared" si="57"/>
        <v>0</v>
      </c>
      <c r="I141" s="13">
        <f t="shared" si="58"/>
        <v>1</v>
      </c>
      <c r="J141" s="13">
        <f t="shared" si="59"/>
        <v>0</v>
      </c>
      <c r="K141" s="13" t="b">
        <f t="shared" si="60"/>
        <v>0</v>
      </c>
      <c r="L141" s="59" t="str">
        <f t="shared" si="61"/>
        <v/>
      </c>
      <c r="M141" s="10"/>
      <c r="N141" s="8"/>
      <c r="O141" s="9" t="str">
        <f>IF(ISBLANK($N141),"",VLOOKUP($N141,List!$B$1:$F$2000,2,0))</f>
        <v/>
      </c>
      <c r="P141" s="10" t="str">
        <f>IF(ISBLANK($N141),"",VLOOKUP($N141,List!$B$1:$F$2000,3,0))</f>
        <v/>
      </c>
      <c r="Q141" s="10" t="str">
        <f>IF(ISBLANK($N141),"",VLOOKUP($N141,List!$B$1:$F$2000,4,0))</f>
        <v/>
      </c>
      <c r="R141" s="11" t="str">
        <f>IF(ISBLANK($N141),"",VLOOKUP($N141,List!$B$1:$F$2000,5,0))</f>
        <v/>
      </c>
      <c r="S141" s="61" t="str">
        <f t="shared" si="62"/>
        <v/>
      </c>
      <c r="T141" s="16" t="str">
        <f t="shared" si="63"/>
        <v/>
      </c>
      <c r="U141" s="7"/>
      <c r="V141" t="s">
        <v>26</v>
      </c>
      <c r="X141" s="39"/>
    </row>
    <row r="142" spans="1:24" x14ac:dyDescent="0.2">
      <c r="A142" s="13">
        <f t="shared" si="50"/>
        <v>9</v>
      </c>
      <c r="B142" s="13">
        <f t="shared" si="51"/>
        <v>9</v>
      </c>
      <c r="C142" s="13">
        <f t="shared" si="52"/>
        <v>6</v>
      </c>
      <c r="D142" s="13">
        <f t="shared" si="53"/>
        <v>13</v>
      </c>
      <c r="E142" s="13">
        <f t="shared" si="54"/>
        <v>7</v>
      </c>
      <c r="F142" s="13">
        <f t="shared" si="55"/>
        <v>6</v>
      </c>
      <c r="G142" s="13">
        <f t="shared" si="56"/>
        <v>0</v>
      </c>
      <c r="H142" s="13">
        <f t="shared" si="57"/>
        <v>0</v>
      </c>
      <c r="I142" s="13">
        <f t="shared" si="58"/>
        <v>1</v>
      </c>
      <c r="J142" s="13">
        <f t="shared" si="59"/>
        <v>0</v>
      </c>
      <c r="K142" s="13" t="b">
        <f t="shared" si="60"/>
        <v>0</v>
      </c>
      <c r="L142" s="59" t="str">
        <f t="shared" si="61"/>
        <v/>
      </c>
      <c r="M142" s="10"/>
      <c r="N142" s="8"/>
      <c r="O142" s="9" t="str">
        <f>IF(ISBLANK($N142),"",VLOOKUP($N142,List!$B$1:$F$2000,2,0))</f>
        <v/>
      </c>
      <c r="P142" s="10" t="str">
        <f>IF(ISBLANK($N142),"",VLOOKUP($N142,List!$B$1:$F$2000,3,0))</f>
        <v/>
      </c>
      <c r="Q142" s="10" t="str">
        <f>IF(ISBLANK($N142),"",VLOOKUP($N142,List!$B$1:$F$2000,4,0))</f>
        <v/>
      </c>
      <c r="R142" s="11" t="str">
        <f>IF(ISBLANK($N142),"",VLOOKUP($N142,List!$B$1:$F$2000,5,0))</f>
        <v/>
      </c>
      <c r="S142" s="61" t="str">
        <f t="shared" si="62"/>
        <v/>
      </c>
      <c r="T142" s="16" t="str">
        <f t="shared" si="63"/>
        <v/>
      </c>
      <c r="U142" s="7"/>
      <c r="V142" t="s">
        <v>26</v>
      </c>
      <c r="X142" s="39"/>
    </row>
    <row r="143" spans="1:24" x14ac:dyDescent="0.2">
      <c r="A143" s="13">
        <f t="shared" si="50"/>
        <v>9</v>
      </c>
      <c r="B143" s="13">
        <f t="shared" si="51"/>
        <v>9</v>
      </c>
      <c r="C143" s="13">
        <f t="shared" si="52"/>
        <v>6</v>
      </c>
      <c r="D143" s="13">
        <f t="shared" si="53"/>
        <v>13</v>
      </c>
      <c r="E143" s="13">
        <f t="shared" si="54"/>
        <v>7</v>
      </c>
      <c r="F143" s="13">
        <f t="shared" si="55"/>
        <v>6</v>
      </c>
      <c r="G143" s="13">
        <f t="shared" si="56"/>
        <v>0</v>
      </c>
      <c r="H143" s="13">
        <f t="shared" si="57"/>
        <v>0</v>
      </c>
      <c r="I143" s="13">
        <f t="shared" si="58"/>
        <v>1</v>
      </c>
      <c r="J143" s="13">
        <f t="shared" si="59"/>
        <v>0</v>
      </c>
      <c r="K143" s="13" t="b">
        <f t="shared" si="60"/>
        <v>0</v>
      </c>
      <c r="L143" s="59" t="str">
        <f t="shared" si="61"/>
        <v/>
      </c>
      <c r="M143" s="10"/>
      <c r="N143" s="8"/>
      <c r="O143" s="9" t="str">
        <f>IF(ISBLANK($N143),"",VLOOKUP($N143,List!$B$1:$F$2000,2,0))</f>
        <v/>
      </c>
      <c r="P143" s="10" t="str">
        <f>IF(ISBLANK($N143),"",VLOOKUP($N143,List!$B$1:$F$2000,3,0))</f>
        <v/>
      </c>
      <c r="Q143" s="10" t="str">
        <f>IF(ISBLANK($N143),"",VLOOKUP($N143,List!$B$1:$F$2000,4,0))</f>
        <v/>
      </c>
      <c r="R143" s="11" t="str">
        <f>IF(ISBLANK($N143),"",VLOOKUP($N143,List!$B$1:$F$2000,5,0))</f>
        <v/>
      </c>
      <c r="S143" s="61" t="str">
        <f t="shared" si="62"/>
        <v/>
      </c>
      <c r="T143" s="16" t="str">
        <f t="shared" si="63"/>
        <v/>
      </c>
      <c r="U143" s="7"/>
      <c r="V143" t="s">
        <v>26</v>
      </c>
      <c r="X143" s="39"/>
    </row>
    <row r="144" spans="1:24" x14ac:dyDescent="0.2">
      <c r="A144" s="13">
        <f t="shared" si="50"/>
        <v>9</v>
      </c>
      <c r="B144" s="13">
        <f t="shared" si="51"/>
        <v>9</v>
      </c>
      <c r="C144" s="13">
        <f t="shared" si="52"/>
        <v>6</v>
      </c>
      <c r="D144" s="13">
        <f t="shared" si="53"/>
        <v>13</v>
      </c>
      <c r="E144" s="13">
        <f t="shared" si="54"/>
        <v>7</v>
      </c>
      <c r="F144" s="13">
        <f t="shared" si="55"/>
        <v>6</v>
      </c>
      <c r="G144" s="13">
        <f t="shared" si="56"/>
        <v>0</v>
      </c>
      <c r="H144" s="13">
        <f t="shared" si="57"/>
        <v>0</v>
      </c>
      <c r="I144" s="13">
        <f t="shared" si="58"/>
        <v>1</v>
      </c>
      <c r="J144" s="13">
        <f t="shared" si="59"/>
        <v>0</v>
      </c>
      <c r="K144" s="13" t="b">
        <f t="shared" si="60"/>
        <v>0</v>
      </c>
      <c r="L144" s="59" t="str">
        <f t="shared" si="61"/>
        <v/>
      </c>
      <c r="M144" s="10"/>
      <c r="N144" s="66"/>
      <c r="O144" s="9" t="str">
        <f>IF(ISBLANK($N144),"",VLOOKUP($N144,List!$B$1:$F$2000,2,0))</f>
        <v/>
      </c>
      <c r="P144" s="10" t="str">
        <f>IF(ISBLANK($N144),"",VLOOKUP($N144,List!$B$1:$F$2000,3,0))</f>
        <v/>
      </c>
      <c r="Q144" s="10" t="str">
        <f>IF(ISBLANK($N144),"",VLOOKUP($N144,List!$B$1:$F$2000,4,0))</f>
        <v/>
      </c>
      <c r="R144" s="11" t="str">
        <f>IF(ISBLANK($N144),"",VLOOKUP($N144,List!$B$1:$F$2000,5,0))</f>
        <v/>
      </c>
      <c r="S144" s="61" t="str">
        <f t="shared" si="62"/>
        <v/>
      </c>
      <c r="T144" s="16" t="str">
        <f t="shared" si="63"/>
        <v/>
      </c>
      <c r="U144" s="7"/>
      <c r="V144" t="s">
        <v>26</v>
      </c>
      <c r="X144" s="39"/>
    </row>
    <row r="145" spans="1:24" x14ac:dyDescent="0.2">
      <c r="A145" s="13">
        <f t="shared" si="50"/>
        <v>9</v>
      </c>
      <c r="B145" s="13">
        <f t="shared" si="51"/>
        <v>9</v>
      </c>
      <c r="C145" s="13">
        <f t="shared" si="52"/>
        <v>6</v>
      </c>
      <c r="D145" s="13">
        <f t="shared" si="53"/>
        <v>13</v>
      </c>
      <c r="E145" s="13">
        <f t="shared" si="54"/>
        <v>7</v>
      </c>
      <c r="F145" s="13">
        <f t="shared" si="55"/>
        <v>6</v>
      </c>
      <c r="G145" s="13">
        <f t="shared" si="56"/>
        <v>0</v>
      </c>
      <c r="H145" s="13">
        <f t="shared" si="57"/>
        <v>0</v>
      </c>
      <c r="I145" s="13">
        <f t="shared" si="58"/>
        <v>1</v>
      </c>
      <c r="J145" s="13">
        <f t="shared" si="59"/>
        <v>0</v>
      </c>
      <c r="K145" s="13" t="b">
        <f t="shared" si="60"/>
        <v>0</v>
      </c>
      <c r="L145" s="59" t="str">
        <f t="shared" si="61"/>
        <v/>
      </c>
      <c r="M145" s="10"/>
      <c r="N145" s="8"/>
      <c r="O145" s="9" t="str">
        <f>IF(ISBLANK($N145),"",VLOOKUP($N145,List!$B$1:$F$2000,2,0))</f>
        <v/>
      </c>
      <c r="P145" s="10" t="str">
        <f>IF(ISBLANK($N145),"",VLOOKUP($N145,List!$B$1:$F$2000,3,0))</f>
        <v/>
      </c>
      <c r="Q145" s="10" t="str">
        <f>IF(ISBLANK($N145),"",VLOOKUP($N145,List!$B$1:$F$2000,4,0))</f>
        <v/>
      </c>
      <c r="R145" s="11" t="str">
        <f>IF(ISBLANK($N145),"",VLOOKUP($N145,List!$B$1:$F$2000,5,0))</f>
        <v/>
      </c>
      <c r="S145" s="61" t="str">
        <f t="shared" si="62"/>
        <v/>
      </c>
      <c r="T145" s="16" t="str">
        <f t="shared" si="63"/>
        <v/>
      </c>
      <c r="U145" s="7"/>
      <c r="V145" t="s">
        <v>26</v>
      </c>
      <c r="X145" s="39"/>
    </row>
    <row r="146" spans="1:24" x14ac:dyDescent="0.2">
      <c r="A146" s="13">
        <f t="shared" si="50"/>
        <v>9</v>
      </c>
      <c r="B146" s="13">
        <f t="shared" si="51"/>
        <v>9</v>
      </c>
      <c r="C146" s="13">
        <f t="shared" si="52"/>
        <v>6</v>
      </c>
      <c r="D146" s="13">
        <f t="shared" si="53"/>
        <v>13</v>
      </c>
      <c r="E146" s="13">
        <f t="shared" si="54"/>
        <v>7</v>
      </c>
      <c r="F146" s="13">
        <f t="shared" si="55"/>
        <v>6</v>
      </c>
      <c r="G146" s="13">
        <f t="shared" si="56"/>
        <v>0</v>
      </c>
      <c r="H146" s="13">
        <f t="shared" si="57"/>
        <v>0</v>
      </c>
      <c r="I146" s="13">
        <f t="shared" si="58"/>
        <v>1</v>
      </c>
      <c r="J146" s="13">
        <f t="shared" si="59"/>
        <v>0</v>
      </c>
      <c r="K146" s="13" t="b">
        <f t="shared" si="60"/>
        <v>0</v>
      </c>
      <c r="L146" s="59" t="str">
        <f t="shared" si="61"/>
        <v/>
      </c>
      <c r="M146" s="10"/>
      <c r="N146" s="8"/>
      <c r="O146" s="9" t="str">
        <f>IF(ISBLANK($N146),"",VLOOKUP($N146,List!$B$1:$F$2000,2,0))</f>
        <v/>
      </c>
      <c r="P146" s="10" t="str">
        <f>IF(ISBLANK($N146),"",VLOOKUP($N146,List!$B$1:$F$2000,3,0))</f>
        <v/>
      </c>
      <c r="Q146" s="10" t="str">
        <f>IF(ISBLANK($N146),"",VLOOKUP($N146,List!$B$1:$F$2000,4,0))</f>
        <v/>
      </c>
      <c r="R146" s="11" t="str">
        <f>IF(ISBLANK($N146),"",VLOOKUP($N146,List!$B$1:$F$2000,5,0))</f>
        <v/>
      </c>
      <c r="S146" s="61" t="str">
        <f t="shared" si="62"/>
        <v/>
      </c>
      <c r="T146" s="16" t="str">
        <f t="shared" si="63"/>
        <v/>
      </c>
      <c r="U146" s="7"/>
      <c r="V146" t="s">
        <v>26</v>
      </c>
      <c r="X146" s="39"/>
    </row>
    <row r="147" spans="1:24" x14ac:dyDescent="0.2">
      <c r="A147" s="13">
        <f t="shared" si="50"/>
        <v>9</v>
      </c>
      <c r="B147" s="13">
        <f t="shared" si="51"/>
        <v>9</v>
      </c>
      <c r="C147" s="13">
        <f t="shared" si="52"/>
        <v>6</v>
      </c>
      <c r="D147" s="13">
        <f t="shared" si="53"/>
        <v>13</v>
      </c>
      <c r="E147" s="13">
        <f t="shared" si="54"/>
        <v>7</v>
      </c>
      <c r="F147" s="13">
        <f t="shared" si="55"/>
        <v>6</v>
      </c>
      <c r="G147" s="13">
        <f t="shared" si="56"/>
        <v>0</v>
      </c>
      <c r="H147" s="13">
        <f t="shared" si="57"/>
        <v>0</v>
      </c>
      <c r="I147" s="13">
        <f t="shared" si="58"/>
        <v>1</v>
      </c>
      <c r="J147" s="13">
        <f t="shared" si="59"/>
        <v>0</v>
      </c>
      <c r="K147" s="13" t="b">
        <f t="shared" si="60"/>
        <v>0</v>
      </c>
      <c r="L147" s="59" t="str">
        <f t="shared" si="61"/>
        <v/>
      </c>
      <c r="M147" s="10"/>
      <c r="N147" s="8"/>
      <c r="O147" s="9" t="str">
        <f>IF(ISBLANK($N147),"",VLOOKUP($N147,List!$B$1:$F$2000,2,0))</f>
        <v/>
      </c>
      <c r="P147" s="10" t="str">
        <f>IF(ISBLANK($N147),"",VLOOKUP($N147,List!$B$1:$F$2000,3,0))</f>
        <v/>
      </c>
      <c r="Q147" s="10" t="str">
        <f>IF(ISBLANK($N147),"",VLOOKUP($N147,List!$B$1:$F$2000,4,0))</f>
        <v/>
      </c>
      <c r="R147" s="11" t="str">
        <f>IF(ISBLANK($N147),"",VLOOKUP($N147,List!$B$1:$F$2000,5,0))</f>
        <v/>
      </c>
      <c r="S147" s="61" t="str">
        <f t="shared" si="62"/>
        <v/>
      </c>
      <c r="T147" s="16" t="str">
        <f t="shared" si="63"/>
        <v/>
      </c>
      <c r="U147" s="7"/>
      <c r="V147" t="s">
        <v>26</v>
      </c>
      <c r="X147" s="39"/>
    </row>
    <row r="148" spans="1:24" x14ac:dyDescent="0.2">
      <c r="A148" s="13">
        <f t="shared" si="50"/>
        <v>9</v>
      </c>
      <c r="B148" s="13">
        <f t="shared" si="51"/>
        <v>9</v>
      </c>
      <c r="C148" s="13">
        <f t="shared" si="52"/>
        <v>6</v>
      </c>
      <c r="D148" s="13">
        <f t="shared" si="53"/>
        <v>13</v>
      </c>
      <c r="E148" s="13">
        <f t="shared" si="54"/>
        <v>7</v>
      </c>
      <c r="F148" s="13">
        <f t="shared" si="55"/>
        <v>6</v>
      </c>
      <c r="G148" s="13">
        <f t="shared" si="56"/>
        <v>0</v>
      </c>
      <c r="H148" s="13">
        <f t="shared" si="57"/>
        <v>0</v>
      </c>
      <c r="I148" s="13">
        <f t="shared" si="58"/>
        <v>1</v>
      </c>
      <c r="J148" s="13">
        <f t="shared" si="59"/>
        <v>0</v>
      </c>
      <c r="K148" s="13" t="b">
        <f t="shared" si="60"/>
        <v>0</v>
      </c>
      <c r="L148" s="59" t="str">
        <f t="shared" si="61"/>
        <v/>
      </c>
      <c r="M148" s="10"/>
      <c r="N148" s="66"/>
      <c r="O148" s="9" t="str">
        <f>IF(ISBLANK($N148),"",VLOOKUP($N148,List!$B$1:$F$2000,2,0))</f>
        <v/>
      </c>
      <c r="P148" s="10" t="str">
        <f>IF(ISBLANK($N148),"",VLOOKUP($N148,List!$B$1:$F$2000,3,0))</f>
        <v/>
      </c>
      <c r="Q148" s="10" t="str">
        <f>IF(ISBLANK($N148),"",VLOOKUP($N148,List!$B$1:$F$2000,4,0))</f>
        <v/>
      </c>
      <c r="R148" s="11" t="str">
        <f>IF(ISBLANK($N148),"",VLOOKUP($N148,List!$B$1:$F$2000,5,0))</f>
        <v/>
      </c>
      <c r="S148" s="61" t="str">
        <f t="shared" si="62"/>
        <v/>
      </c>
      <c r="T148" s="16" t="str">
        <f t="shared" si="63"/>
        <v/>
      </c>
      <c r="U148" s="7"/>
      <c r="V148" t="s">
        <v>26</v>
      </c>
      <c r="X148" s="39"/>
    </row>
    <row r="149" spans="1:24" x14ac:dyDescent="0.2">
      <c r="A149" s="13">
        <f t="shared" si="50"/>
        <v>9</v>
      </c>
      <c r="B149" s="13">
        <f t="shared" si="51"/>
        <v>9</v>
      </c>
      <c r="C149" s="13">
        <f t="shared" si="52"/>
        <v>6</v>
      </c>
      <c r="D149" s="13">
        <f t="shared" si="53"/>
        <v>13</v>
      </c>
      <c r="E149" s="13">
        <f t="shared" si="54"/>
        <v>7</v>
      </c>
      <c r="F149" s="13">
        <f t="shared" si="55"/>
        <v>6</v>
      </c>
      <c r="G149" s="13">
        <f t="shared" si="56"/>
        <v>0</v>
      </c>
      <c r="H149" s="13">
        <f t="shared" si="57"/>
        <v>0</v>
      </c>
      <c r="I149" s="13">
        <f t="shared" si="58"/>
        <v>1</v>
      </c>
      <c r="J149" s="13">
        <f t="shared" si="59"/>
        <v>0</v>
      </c>
      <c r="K149" s="13" t="b">
        <f t="shared" si="60"/>
        <v>0</v>
      </c>
      <c r="L149" s="59" t="str">
        <f t="shared" si="61"/>
        <v/>
      </c>
      <c r="M149" s="10"/>
      <c r="N149" s="8"/>
      <c r="O149" s="9" t="str">
        <f>IF(ISBLANK($N149),"",VLOOKUP($N149,List!$B$1:$F$2000,2,0))</f>
        <v/>
      </c>
      <c r="P149" s="10" t="str">
        <f>IF(ISBLANK($N149),"",VLOOKUP($N149,List!$B$1:$F$2000,3,0))</f>
        <v/>
      </c>
      <c r="Q149" s="10" t="str">
        <f>IF(ISBLANK($N149),"",VLOOKUP($N149,List!$B$1:$F$2000,4,0))</f>
        <v/>
      </c>
      <c r="R149" s="11" t="str">
        <f>IF(ISBLANK($N149),"",VLOOKUP($N149,List!$B$1:$F$2000,5,0))</f>
        <v/>
      </c>
      <c r="S149" s="61" t="str">
        <f t="shared" si="62"/>
        <v/>
      </c>
      <c r="T149" s="16" t="str">
        <f t="shared" si="63"/>
        <v/>
      </c>
      <c r="U149" s="7"/>
      <c r="V149" t="s">
        <v>26</v>
      </c>
      <c r="X149" s="39"/>
    </row>
    <row r="150" spans="1:24" x14ac:dyDescent="0.2">
      <c r="A150" s="13">
        <f t="shared" si="50"/>
        <v>9</v>
      </c>
      <c r="B150" s="13">
        <f t="shared" si="51"/>
        <v>9</v>
      </c>
      <c r="C150" s="13">
        <f t="shared" si="52"/>
        <v>6</v>
      </c>
      <c r="D150" s="13">
        <f t="shared" si="53"/>
        <v>13</v>
      </c>
      <c r="E150" s="13">
        <f t="shared" si="54"/>
        <v>7</v>
      </c>
      <c r="F150" s="13">
        <f t="shared" si="55"/>
        <v>6</v>
      </c>
      <c r="G150" s="13">
        <f t="shared" si="56"/>
        <v>0</v>
      </c>
      <c r="H150" s="13">
        <f t="shared" si="57"/>
        <v>0</v>
      </c>
      <c r="I150" s="13">
        <f t="shared" si="58"/>
        <v>1</v>
      </c>
      <c r="J150" s="13">
        <f t="shared" si="59"/>
        <v>0</v>
      </c>
      <c r="K150" s="13" t="b">
        <f t="shared" si="60"/>
        <v>0</v>
      </c>
      <c r="L150" s="59" t="str">
        <f t="shared" si="61"/>
        <v/>
      </c>
      <c r="M150" s="10"/>
      <c r="N150" s="8"/>
      <c r="O150" s="9" t="str">
        <f>IF(ISBLANK($N150),"",VLOOKUP($N150,List!$B$1:$F$2000,2,0))</f>
        <v/>
      </c>
      <c r="P150" s="10" t="str">
        <f>IF(ISBLANK($N150),"",VLOOKUP($N150,List!$B$1:$F$2000,3,0))</f>
        <v/>
      </c>
      <c r="Q150" s="10" t="str">
        <f>IF(ISBLANK($N150),"",VLOOKUP($N150,List!$B$1:$F$2000,4,0))</f>
        <v/>
      </c>
      <c r="R150" s="11" t="str">
        <f>IF(ISBLANK($N150),"",VLOOKUP($N150,List!$B$1:$F$2000,5,0))</f>
        <v/>
      </c>
      <c r="S150" s="61" t="str">
        <f t="shared" si="62"/>
        <v/>
      </c>
      <c r="T150" s="16" t="str">
        <f t="shared" si="63"/>
        <v/>
      </c>
      <c r="U150" s="7"/>
      <c r="V150" t="s">
        <v>26</v>
      </c>
      <c r="X150" s="39"/>
    </row>
    <row r="151" spans="1:24" x14ac:dyDescent="0.2">
      <c r="A151" s="13">
        <f t="shared" si="50"/>
        <v>9</v>
      </c>
      <c r="B151" s="13">
        <f t="shared" si="51"/>
        <v>9</v>
      </c>
      <c r="C151" s="13">
        <f t="shared" si="52"/>
        <v>6</v>
      </c>
      <c r="D151" s="13">
        <f t="shared" si="53"/>
        <v>13</v>
      </c>
      <c r="E151" s="13">
        <f t="shared" si="54"/>
        <v>7</v>
      </c>
      <c r="F151" s="13">
        <f t="shared" si="55"/>
        <v>6</v>
      </c>
      <c r="G151" s="13">
        <f t="shared" si="56"/>
        <v>0</v>
      </c>
      <c r="H151" s="13">
        <f t="shared" si="57"/>
        <v>0</v>
      </c>
      <c r="I151" s="13">
        <f t="shared" si="58"/>
        <v>1</v>
      </c>
      <c r="J151" s="13">
        <f t="shared" si="59"/>
        <v>0</v>
      </c>
      <c r="K151" s="13" t="b">
        <f t="shared" si="60"/>
        <v>0</v>
      </c>
      <c r="L151" s="59" t="str">
        <f t="shared" si="61"/>
        <v/>
      </c>
      <c r="M151" s="10"/>
      <c r="N151" s="8"/>
      <c r="O151" s="9" t="str">
        <f>IF(ISBLANK($N151),"",VLOOKUP($N151,List!$B$1:$F$2000,2,0))</f>
        <v/>
      </c>
      <c r="P151" s="10" t="str">
        <f>IF(ISBLANK($N151),"",VLOOKUP($N151,List!$B$1:$F$2000,3,0))</f>
        <v/>
      </c>
      <c r="Q151" s="10" t="str">
        <f>IF(ISBLANK($N151),"",VLOOKUP($N151,List!$B$1:$F$2000,4,0))</f>
        <v/>
      </c>
      <c r="R151" s="11" t="str">
        <f>IF(ISBLANK($N151),"",VLOOKUP($N151,List!$B$1:$F$2000,5,0))</f>
        <v/>
      </c>
      <c r="S151" s="61" t="str">
        <f t="shared" si="62"/>
        <v/>
      </c>
      <c r="T151" s="16" t="str">
        <f t="shared" si="63"/>
        <v/>
      </c>
      <c r="U151" s="7"/>
      <c r="V151" t="s">
        <v>26</v>
      </c>
    </row>
    <row r="152" spans="1:24" x14ac:dyDescent="0.2">
      <c r="A152" s="13">
        <f t="shared" si="50"/>
        <v>9</v>
      </c>
      <c r="B152" s="13">
        <f t="shared" si="51"/>
        <v>9</v>
      </c>
      <c r="C152" s="13">
        <f t="shared" si="52"/>
        <v>6</v>
      </c>
      <c r="D152" s="13">
        <f t="shared" si="53"/>
        <v>13</v>
      </c>
      <c r="E152" s="13">
        <f t="shared" si="54"/>
        <v>7</v>
      </c>
      <c r="F152" s="13">
        <f t="shared" si="55"/>
        <v>6</v>
      </c>
      <c r="G152" s="13">
        <f t="shared" si="56"/>
        <v>0</v>
      </c>
      <c r="H152" s="13">
        <f t="shared" si="57"/>
        <v>0</v>
      </c>
      <c r="I152" s="13">
        <f t="shared" si="58"/>
        <v>1</v>
      </c>
      <c r="J152" s="13">
        <f t="shared" si="59"/>
        <v>0</v>
      </c>
      <c r="K152" s="13" t="b">
        <f t="shared" si="60"/>
        <v>0</v>
      </c>
      <c r="L152" s="59" t="str">
        <f t="shared" si="61"/>
        <v/>
      </c>
      <c r="M152" s="10"/>
      <c r="N152" s="8"/>
      <c r="O152" s="9" t="str">
        <f>IF(ISBLANK($N152),"",VLOOKUP($N152,List!$B$1:$F$2000,2,0))</f>
        <v/>
      </c>
      <c r="P152" s="10" t="str">
        <f>IF(ISBLANK($N152),"",VLOOKUP($N152,List!$B$1:$F$2000,3,0))</f>
        <v/>
      </c>
      <c r="Q152" s="10" t="str">
        <f>IF(ISBLANK($N152),"",VLOOKUP($N152,List!$B$1:$F$2000,4,0))</f>
        <v/>
      </c>
      <c r="R152" s="11" t="str">
        <f>IF(ISBLANK($N152),"",VLOOKUP($N152,List!$B$1:$F$2000,5,0))</f>
        <v/>
      </c>
      <c r="S152" s="61" t="str">
        <f t="shared" si="62"/>
        <v/>
      </c>
      <c r="T152" s="16" t="str">
        <f t="shared" si="63"/>
        <v/>
      </c>
      <c r="U152" s="7"/>
      <c r="V152" t="s">
        <v>26</v>
      </c>
    </row>
    <row r="153" spans="1:24" x14ac:dyDescent="0.2">
      <c r="A153" s="13">
        <f t="shared" si="50"/>
        <v>9</v>
      </c>
      <c r="B153" s="13">
        <f t="shared" si="51"/>
        <v>9</v>
      </c>
      <c r="C153" s="13">
        <f t="shared" si="52"/>
        <v>6</v>
      </c>
      <c r="D153" s="13">
        <f t="shared" si="53"/>
        <v>13</v>
      </c>
      <c r="E153" s="13">
        <f t="shared" si="54"/>
        <v>7</v>
      </c>
      <c r="F153" s="13">
        <f t="shared" si="55"/>
        <v>6</v>
      </c>
      <c r="G153" s="13">
        <f t="shared" si="56"/>
        <v>0</v>
      </c>
      <c r="H153" s="13">
        <f t="shared" si="57"/>
        <v>0</v>
      </c>
      <c r="I153" s="13">
        <f t="shared" si="58"/>
        <v>1</v>
      </c>
      <c r="J153" s="13">
        <f t="shared" si="59"/>
        <v>0</v>
      </c>
      <c r="K153" s="13" t="b">
        <f t="shared" si="60"/>
        <v>0</v>
      </c>
      <c r="L153" s="59" t="str">
        <f t="shared" si="61"/>
        <v/>
      </c>
      <c r="M153" s="10"/>
      <c r="N153" s="8"/>
      <c r="O153" s="9" t="str">
        <f>IF(ISBLANK($N153),"",VLOOKUP($N153,List!$B$1:$F$2000,2,0))</f>
        <v/>
      </c>
      <c r="P153" s="10" t="str">
        <f>IF(ISBLANK($N153),"",VLOOKUP($N153,List!$B$1:$F$2000,3,0))</f>
        <v/>
      </c>
      <c r="Q153" s="10" t="str">
        <f>IF(ISBLANK($N153),"",VLOOKUP($N153,List!$B$1:$F$2000,4,0))</f>
        <v/>
      </c>
      <c r="R153" s="11" t="str">
        <f>IF(ISBLANK($N153),"",VLOOKUP($N153,List!$B$1:$F$2000,5,0))</f>
        <v/>
      </c>
      <c r="S153" s="61" t="str">
        <f t="shared" si="62"/>
        <v/>
      </c>
      <c r="T153" s="16" t="str">
        <f t="shared" si="63"/>
        <v/>
      </c>
      <c r="V153" t="s">
        <v>26</v>
      </c>
    </row>
    <row r="154" spans="1:24" x14ac:dyDescent="0.2">
      <c r="A154" s="13">
        <f t="shared" si="50"/>
        <v>9</v>
      </c>
      <c r="B154" s="13">
        <f t="shared" si="51"/>
        <v>9</v>
      </c>
      <c r="C154" s="13">
        <f t="shared" si="52"/>
        <v>6</v>
      </c>
      <c r="D154" s="13">
        <f t="shared" si="53"/>
        <v>13</v>
      </c>
      <c r="E154" s="13">
        <f t="shared" si="54"/>
        <v>7</v>
      </c>
      <c r="F154" s="13">
        <f t="shared" si="55"/>
        <v>6</v>
      </c>
      <c r="G154" s="13">
        <f t="shared" si="56"/>
        <v>0</v>
      </c>
      <c r="H154" s="13">
        <f t="shared" si="57"/>
        <v>0</v>
      </c>
      <c r="I154" s="13">
        <f t="shared" si="58"/>
        <v>1</v>
      </c>
      <c r="J154" s="13">
        <f t="shared" si="59"/>
        <v>0</v>
      </c>
      <c r="K154" s="13" t="b">
        <f t="shared" si="60"/>
        <v>0</v>
      </c>
      <c r="L154" s="59" t="str">
        <f t="shared" si="61"/>
        <v/>
      </c>
      <c r="M154" s="10"/>
      <c r="N154" s="8"/>
      <c r="O154" s="9" t="str">
        <f>IF(ISBLANK($N154),"",VLOOKUP($N154,List!$B$1:$F$2000,2,0))</f>
        <v/>
      </c>
      <c r="P154" s="10" t="str">
        <f>IF(ISBLANK($N154),"",VLOOKUP($N154,List!$B$1:$F$2000,3,0))</f>
        <v/>
      </c>
      <c r="Q154" s="10" t="str">
        <f>IF(ISBLANK($N154),"",VLOOKUP($N154,List!$B$1:$F$2000,4,0))</f>
        <v/>
      </c>
      <c r="R154" s="11" t="str">
        <f>IF(ISBLANK($N154),"",VLOOKUP($N154,List!$B$1:$F$2000,5,0))</f>
        <v/>
      </c>
      <c r="S154" s="61" t="str">
        <f t="shared" si="62"/>
        <v/>
      </c>
      <c r="T154" s="16" t="str">
        <f t="shared" si="63"/>
        <v/>
      </c>
      <c r="V154" t="s">
        <v>26</v>
      </c>
    </row>
    <row r="155" spans="1:24" x14ac:dyDescent="0.2">
      <c r="A155" s="13">
        <f t="shared" si="50"/>
        <v>9</v>
      </c>
      <c r="B155" s="13">
        <f t="shared" si="51"/>
        <v>9</v>
      </c>
      <c r="C155" s="13">
        <f t="shared" si="52"/>
        <v>6</v>
      </c>
      <c r="D155" s="13">
        <f t="shared" si="53"/>
        <v>13</v>
      </c>
      <c r="E155" s="13">
        <f t="shared" si="54"/>
        <v>7</v>
      </c>
      <c r="F155" s="13">
        <f t="shared" si="55"/>
        <v>6</v>
      </c>
      <c r="G155" s="13">
        <f t="shared" si="56"/>
        <v>0</v>
      </c>
      <c r="H155" s="13">
        <f t="shared" si="57"/>
        <v>0</v>
      </c>
      <c r="I155" s="13">
        <f t="shared" si="58"/>
        <v>1</v>
      </c>
      <c r="J155" s="13">
        <f t="shared" si="59"/>
        <v>0</v>
      </c>
      <c r="K155" s="13" t="b">
        <f t="shared" si="60"/>
        <v>0</v>
      </c>
      <c r="L155" s="59" t="str">
        <f t="shared" si="61"/>
        <v/>
      </c>
      <c r="M155" s="10"/>
      <c r="N155" s="8"/>
      <c r="O155" s="9" t="str">
        <f>IF(ISBLANK($N155),"",VLOOKUP($N155,List!$B$1:$F$2000,2,0))</f>
        <v/>
      </c>
      <c r="P155" s="10" t="str">
        <f>IF(ISBLANK($N155),"",VLOOKUP($N155,List!$B$1:$F$2000,3,0))</f>
        <v/>
      </c>
      <c r="Q155" s="10" t="str">
        <f>IF(ISBLANK($N155),"",VLOOKUP($N155,List!$B$1:$F$2000,4,0))</f>
        <v/>
      </c>
      <c r="R155" s="11" t="str">
        <f>IF(ISBLANK($N155),"",VLOOKUP($N155,List!$B$1:$F$2000,5,0))</f>
        <v/>
      </c>
      <c r="S155" s="61" t="str">
        <f t="shared" si="62"/>
        <v/>
      </c>
      <c r="T155" s="16" t="str">
        <f t="shared" si="63"/>
        <v/>
      </c>
      <c r="V155" t="s">
        <v>26</v>
      </c>
    </row>
    <row r="156" spans="1:24" x14ac:dyDescent="0.2">
      <c r="A156" s="13">
        <f t="shared" si="50"/>
        <v>9</v>
      </c>
      <c r="B156" s="13">
        <f t="shared" si="51"/>
        <v>9</v>
      </c>
      <c r="C156" s="13">
        <f t="shared" si="52"/>
        <v>6</v>
      </c>
      <c r="D156" s="13">
        <f t="shared" si="53"/>
        <v>13</v>
      </c>
      <c r="E156" s="13">
        <f t="shared" si="54"/>
        <v>7</v>
      </c>
      <c r="F156" s="13">
        <f t="shared" si="55"/>
        <v>6</v>
      </c>
      <c r="G156" s="13">
        <f t="shared" si="56"/>
        <v>0</v>
      </c>
      <c r="H156" s="13">
        <f t="shared" si="57"/>
        <v>0</v>
      </c>
      <c r="I156" s="13">
        <f t="shared" si="58"/>
        <v>1</v>
      </c>
      <c r="J156" s="13">
        <f t="shared" si="59"/>
        <v>0</v>
      </c>
      <c r="K156" s="13" t="b">
        <f t="shared" si="60"/>
        <v>0</v>
      </c>
      <c r="L156" s="59" t="str">
        <f t="shared" si="61"/>
        <v/>
      </c>
      <c r="M156" s="10"/>
      <c r="N156" s="8"/>
      <c r="O156" s="9" t="str">
        <f>IF(ISBLANK($N156),"",VLOOKUP($N156,List!$B$1:$F$2000,2,0))</f>
        <v/>
      </c>
      <c r="P156" s="10" t="str">
        <f>IF(ISBLANK($N156),"",VLOOKUP($N156,List!$B$1:$F$2000,3,0))</f>
        <v/>
      </c>
      <c r="Q156" s="10" t="str">
        <f>IF(ISBLANK($N156),"",VLOOKUP($N156,List!$B$1:$F$2000,4,0))</f>
        <v/>
      </c>
      <c r="R156" s="11" t="str">
        <f>IF(ISBLANK($N156),"",VLOOKUP($N156,List!$B$1:$F$2000,5,0))</f>
        <v/>
      </c>
      <c r="S156" s="61" t="str">
        <f t="shared" si="62"/>
        <v/>
      </c>
      <c r="T156" s="16" t="str">
        <f t="shared" si="63"/>
        <v/>
      </c>
      <c r="V156" t="s">
        <v>26</v>
      </c>
    </row>
    <row r="157" spans="1:24" x14ac:dyDescent="0.2">
      <c r="A157" s="13">
        <f t="shared" si="50"/>
        <v>9</v>
      </c>
      <c r="B157" s="13">
        <f t="shared" si="51"/>
        <v>9</v>
      </c>
      <c r="C157" s="13">
        <f t="shared" si="52"/>
        <v>6</v>
      </c>
      <c r="D157" s="13">
        <f t="shared" si="53"/>
        <v>13</v>
      </c>
      <c r="E157" s="13">
        <f t="shared" si="54"/>
        <v>7</v>
      </c>
      <c r="F157" s="13">
        <f t="shared" si="55"/>
        <v>6</v>
      </c>
      <c r="G157" s="13">
        <f t="shared" si="56"/>
        <v>0</v>
      </c>
      <c r="H157" s="13">
        <f t="shared" si="57"/>
        <v>0</v>
      </c>
      <c r="I157" s="13">
        <f t="shared" si="58"/>
        <v>1</v>
      </c>
      <c r="J157" s="13">
        <f t="shared" si="59"/>
        <v>0</v>
      </c>
      <c r="K157" s="13" t="b">
        <f t="shared" si="60"/>
        <v>0</v>
      </c>
      <c r="L157" s="59" t="str">
        <f t="shared" si="61"/>
        <v/>
      </c>
      <c r="M157" s="10"/>
      <c r="N157" s="8"/>
      <c r="O157" s="9" t="str">
        <f>IF(ISBLANK($N157),"",VLOOKUP($N157,List!$B$1:$F$2000,2,0))</f>
        <v/>
      </c>
      <c r="P157" s="10" t="str">
        <f>IF(ISBLANK($N157),"",VLOOKUP($N157,List!$B$1:$F$2000,3,0))</f>
        <v/>
      </c>
      <c r="Q157" s="10" t="str">
        <f>IF(ISBLANK($N157),"",VLOOKUP($N157,List!$B$1:$F$2000,4,0))</f>
        <v/>
      </c>
      <c r="R157" s="11" t="str">
        <f>IF(ISBLANK($N157),"",VLOOKUP($N157,List!$B$1:$F$2000,5,0))</f>
        <v/>
      </c>
      <c r="S157" s="61" t="str">
        <f t="shared" si="62"/>
        <v/>
      </c>
      <c r="T157" s="16" t="str">
        <f t="shared" si="63"/>
        <v/>
      </c>
      <c r="V157" t="s">
        <v>26</v>
      </c>
    </row>
    <row r="158" spans="1:24" x14ac:dyDescent="0.2">
      <c r="A158" s="13">
        <f t="shared" si="50"/>
        <v>9</v>
      </c>
      <c r="B158" s="13">
        <f t="shared" si="51"/>
        <v>9</v>
      </c>
      <c r="C158" s="13">
        <f t="shared" si="52"/>
        <v>6</v>
      </c>
      <c r="D158" s="13">
        <f t="shared" si="53"/>
        <v>13</v>
      </c>
      <c r="E158" s="13">
        <f t="shared" si="54"/>
        <v>7</v>
      </c>
      <c r="F158" s="13">
        <f t="shared" si="55"/>
        <v>6</v>
      </c>
      <c r="G158" s="13">
        <f t="shared" si="56"/>
        <v>0</v>
      </c>
      <c r="H158" s="13">
        <f t="shared" si="57"/>
        <v>0</v>
      </c>
      <c r="I158" s="13">
        <f t="shared" si="58"/>
        <v>1</v>
      </c>
      <c r="J158" s="13">
        <f t="shared" si="59"/>
        <v>0</v>
      </c>
      <c r="K158" s="13" t="b">
        <f t="shared" si="60"/>
        <v>0</v>
      </c>
      <c r="L158" s="59" t="str">
        <f t="shared" si="61"/>
        <v/>
      </c>
      <c r="M158" s="10"/>
      <c r="N158" s="8"/>
      <c r="O158" s="9" t="str">
        <f>IF(ISBLANK($N158),"",VLOOKUP($N158,List!$B$1:$F$2000,2,0))</f>
        <v/>
      </c>
      <c r="P158" s="10" t="str">
        <f>IF(ISBLANK($N158),"",VLOOKUP($N158,List!$B$1:$F$2000,3,0))</f>
        <v/>
      </c>
      <c r="Q158" s="10" t="str">
        <f>IF(ISBLANK($N158),"",VLOOKUP($N158,List!$B$1:$F$2000,4,0))</f>
        <v/>
      </c>
      <c r="R158" s="11" t="str">
        <f>IF(ISBLANK($N158),"",VLOOKUP($N158,List!$B$1:$F$2000,5,0))</f>
        <v/>
      </c>
      <c r="S158" s="61" t="str">
        <f t="shared" si="62"/>
        <v/>
      </c>
      <c r="T158" s="16" t="str">
        <f t="shared" si="63"/>
        <v/>
      </c>
      <c r="V158" t="s">
        <v>26</v>
      </c>
    </row>
    <row r="159" spans="1:24" x14ac:dyDescent="0.2">
      <c r="A159" s="13">
        <f t="shared" si="50"/>
        <v>9</v>
      </c>
      <c r="B159" s="13">
        <f t="shared" si="51"/>
        <v>9</v>
      </c>
      <c r="C159" s="13">
        <f t="shared" si="52"/>
        <v>6</v>
      </c>
      <c r="D159" s="13">
        <f t="shared" si="53"/>
        <v>13</v>
      </c>
      <c r="E159" s="13">
        <f t="shared" si="54"/>
        <v>7</v>
      </c>
      <c r="F159" s="13">
        <f t="shared" si="55"/>
        <v>6</v>
      </c>
      <c r="G159" s="13">
        <f t="shared" si="56"/>
        <v>0</v>
      </c>
      <c r="H159" s="13">
        <f t="shared" si="57"/>
        <v>0</v>
      </c>
      <c r="I159" s="13">
        <f t="shared" si="58"/>
        <v>1</v>
      </c>
      <c r="J159" s="13">
        <f t="shared" si="59"/>
        <v>0</v>
      </c>
      <c r="K159" s="13" t="b">
        <f t="shared" si="60"/>
        <v>0</v>
      </c>
      <c r="L159" s="59" t="str">
        <f t="shared" si="61"/>
        <v/>
      </c>
      <c r="M159" s="10"/>
      <c r="N159" s="8"/>
      <c r="O159" s="9" t="str">
        <f>IF(ISBLANK($N159),"",VLOOKUP($N159,List!$B$1:$F$2000,2,0))</f>
        <v/>
      </c>
      <c r="P159" s="10" t="str">
        <f>IF(ISBLANK($N159),"",VLOOKUP($N159,List!$B$1:$F$2000,3,0))</f>
        <v/>
      </c>
      <c r="Q159" s="10" t="str">
        <f>IF(ISBLANK($N159),"",VLOOKUP($N159,List!$B$1:$F$2000,4,0))</f>
        <v/>
      </c>
      <c r="R159" s="11" t="str">
        <f>IF(ISBLANK($N159),"",VLOOKUP($N159,List!$B$1:$F$2000,5,0))</f>
        <v/>
      </c>
      <c r="S159" s="61" t="str">
        <f t="shared" si="62"/>
        <v/>
      </c>
      <c r="T159" s="16" t="str">
        <f t="shared" si="63"/>
        <v/>
      </c>
      <c r="V159" t="s">
        <v>26</v>
      </c>
    </row>
    <row r="160" spans="1:24" x14ac:dyDescent="0.2">
      <c r="A160" s="13">
        <f t="shared" si="50"/>
        <v>9</v>
      </c>
      <c r="B160" s="13">
        <f t="shared" si="51"/>
        <v>9</v>
      </c>
      <c r="C160" s="13">
        <f t="shared" si="52"/>
        <v>6</v>
      </c>
      <c r="D160" s="13">
        <f t="shared" si="53"/>
        <v>13</v>
      </c>
      <c r="E160" s="13">
        <f t="shared" si="54"/>
        <v>7</v>
      </c>
      <c r="F160" s="13">
        <f t="shared" si="55"/>
        <v>6</v>
      </c>
      <c r="G160" s="13">
        <f t="shared" si="56"/>
        <v>0</v>
      </c>
      <c r="H160" s="13">
        <f t="shared" si="57"/>
        <v>0</v>
      </c>
      <c r="I160" s="13">
        <f t="shared" si="58"/>
        <v>1</v>
      </c>
      <c r="J160" s="13">
        <f t="shared" si="59"/>
        <v>0</v>
      </c>
      <c r="K160" s="13" t="b">
        <f t="shared" si="60"/>
        <v>0</v>
      </c>
      <c r="L160" s="59" t="str">
        <f t="shared" si="61"/>
        <v/>
      </c>
      <c r="M160" s="10"/>
      <c r="N160" s="8"/>
      <c r="O160" s="9" t="str">
        <f>IF(ISBLANK($N160),"",VLOOKUP($N160,List!$B$1:$F$2000,2,0))</f>
        <v/>
      </c>
      <c r="P160" s="10" t="str">
        <f>IF(ISBLANK($N160),"",VLOOKUP($N160,List!$B$1:$F$2000,3,0))</f>
        <v/>
      </c>
      <c r="Q160" s="10" t="str">
        <f>IF(ISBLANK($N160),"",VLOOKUP($N160,List!$B$1:$F$2000,4,0))</f>
        <v/>
      </c>
      <c r="R160" s="11" t="str">
        <f>IF(ISBLANK($N160),"",VLOOKUP($N160,List!$B$1:$F$2000,5,0))</f>
        <v/>
      </c>
      <c r="S160" s="61" t="str">
        <f t="shared" si="62"/>
        <v/>
      </c>
      <c r="T160" s="16" t="str">
        <f t="shared" si="63"/>
        <v/>
      </c>
      <c r="V160" t="s">
        <v>26</v>
      </c>
    </row>
    <row r="161" spans="1:22" x14ac:dyDescent="0.2">
      <c r="A161" s="13">
        <f t="shared" si="50"/>
        <v>9</v>
      </c>
      <c r="B161" s="13">
        <f t="shared" si="51"/>
        <v>9</v>
      </c>
      <c r="C161" s="13">
        <f t="shared" si="52"/>
        <v>6</v>
      </c>
      <c r="D161" s="13">
        <f t="shared" si="53"/>
        <v>13</v>
      </c>
      <c r="E161" s="13">
        <f t="shared" si="54"/>
        <v>7</v>
      </c>
      <c r="F161" s="13">
        <f t="shared" si="55"/>
        <v>6</v>
      </c>
      <c r="G161" s="13">
        <f t="shared" si="56"/>
        <v>0</v>
      </c>
      <c r="H161" s="13">
        <f t="shared" si="57"/>
        <v>0</v>
      </c>
      <c r="I161" s="13">
        <f t="shared" si="58"/>
        <v>1</v>
      </c>
      <c r="J161" s="13">
        <f t="shared" si="59"/>
        <v>0</v>
      </c>
      <c r="K161" s="13" t="b">
        <f t="shared" si="60"/>
        <v>0</v>
      </c>
      <c r="L161" s="59" t="str">
        <f t="shared" si="61"/>
        <v/>
      </c>
      <c r="M161" s="10"/>
      <c r="N161" s="8"/>
      <c r="O161" s="9" t="str">
        <f>IF(ISBLANK($N161),"",VLOOKUP($N161,List!$B$1:$F$2000,2,0))</f>
        <v/>
      </c>
      <c r="P161" s="10" t="str">
        <f>IF(ISBLANK($N161),"",VLOOKUP($N161,List!$B$1:$F$2000,3,0))</f>
        <v/>
      </c>
      <c r="Q161" s="10" t="str">
        <f>IF(ISBLANK($N161),"",VLOOKUP($N161,List!$B$1:$F$2000,4,0))</f>
        <v/>
      </c>
      <c r="R161" s="11" t="str">
        <f>IF(ISBLANK($N161),"",VLOOKUP($N161,List!$B$1:$F$2000,5,0))</f>
        <v/>
      </c>
      <c r="S161" s="61" t="str">
        <f t="shared" si="62"/>
        <v/>
      </c>
      <c r="T161" s="16" t="str">
        <f t="shared" si="63"/>
        <v/>
      </c>
      <c r="V161" t="s">
        <v>26</v>
      </c>
    </row>
    <row r="162" spans="1:22" x14ac:dyDescent="0.2">
      <c r="A162" s="13">
        <f t="shared" si="50"/>
        <v>9</v>
      </c>
      <c r="B162" s="13">
        <f t="shared" si="51"/>
        <v>9</v>
      </c>
      <c r="C162" s="13">
        <f t="shared" si="52"/>
        <v>6</v>
      </c>
      <c r="D162" s="13">
        <f t="shared" si="53"/>
        <v>13</v>
      </c>
      <c r="E162" s="13">
        <f t="shared" si="54"/>
        <v>7</v>
      </c>
      <c r="F162" s="13">
        <f t="shared" si="55"/>
        <v>6</v>
      </c>
      <c r="G162" s="13">
        <f t="shared" si="56"/>
        <v>0</v>
      </c>
      <c r="H162" s="13">
        <f t="shared" si="57"/>
        <v>0</v>
      </c>
      <c r="I162" s="13">
        <f t="shared" si="58"/>
        <v>1</v>
      </c>
      <c r="J162" s="13">
        <f t="shared" si="59"/>
        <v>0</v>
      </c>
      <c r="K162" s="13" t="b">
        <f t="shared" si="60"/>
        <v>0</v>
      </c>
      <c r="L162" s="59" t="str">
        <f t="shared" si="61"/>
        <v/>
      </c>
      <c r="M162" s="10"/>
      <c r="N162" s="8"/>
      <c r="O162" s="9" t="str">
        <f>IF(ISBLANK($N162),"",VLOOKUP($N162,List!$B$1:$F$2000,2,0))</f>
        <v/>
      </c>
      <c r="P162" s="10" t="str">
        <f>IF(ISBLANK($N162),"",VLOOKUP($N162,List!$B$1:$F$2000,3,0))</f>
        <v/>
      </c>
      <c r="Q162" s="10" t="str">
        <f>IF(ISBLANK($N162),"",VLOOKUP($N162,List!$B$1:$F$2000,4,0))</f>
        <v/>
      </c>
      <c r="R162" s="11" t="str">
        <f>IF(ISBLANK($N162),"",VLOOKUP($N162,List!$B$1:$F$2000,5,0))</f>
        <v/>
      </c>
      <c r="S162" s="61" t="str">
        <f t="shared" si="62"/>
        <v/>
      </c>
      <c r="T162" s="16" t="str">
        <f t="shared" si="63"/>
        <v/>
      </c>
      <c r="V162" t="s">
        <v>26</v>
      </c>
    </row>
    <row r="163" spans="1:22" x14ac:dyDescent="0.2">
      <c r="A163" s="13">
        <f t="shared" ref="A163:A194" si="64">IF(AND($K163,$S163&lt;$C$1,$S163&gt;=$A$1,$R163="Мужской"),A162+1,A162)</f>
        <v>9</v>
      </c>
      <c r="B163" s="13">
        <f t="shared" ref="B163:B194" si="65">IF(AND($K163,$S163&lt;$D$1,$S163&gt;=$B$1,$R163="Женский"),B162+1,B162)</f>
        <v>9</v>
      </c>
      <c r="C163" s="13">
        <f t="shared" ref="C163:C194" si="66">IF(AND($K163,$S163&lt;$E$1,$S163&gt;=$C$1,$R163="Мужской"),C162+1,C162)</f>
        <v>6</v>
      </c>
      <c r="D163" s="13">
        <f t="shared" ref="D163:D194" si="67">IF(AND($K163,$S163&lt;$F$1,$S163&gt;=$D$1,$R163="Женский"),D162+1,D162)</f>
        <v>13</v>
      </c>
      <c r="E163" s="13">
        <f t="shared" ref="E163:E194" si="68">IF(AND($K163,$S163&lt;$G$1,$S163&gt;=$E$1,$R163="Мужской"),E162+1,E162)</f>
        <v>7</v>
      </c>
      <c r="F163" s="13">
        <f t="shared" ref="F163:F194" si="69">IF(AND($K163,$S163&lt;$H$1,$S163&gt;=$F$1,$R163="Женский"),F162+1,F162)</f>
        <v>6</v>
      </c>
      <c r="G163" s="13">
        <f t="shared" ref="G163:G194" si="70">IF(AND($K163,$S163&lt;$I$1,$S163&gt;=$G$1,$R163="Мужской"),G162+1,G162)</f>
        <v>0</v>
      </c>
      <c r="H163" s="13">
        <f t="shared" ref="H163:H194" si="71">IF(AND($K163,$S163&lt;$J$1,$S163&gt;=$H$1,$R163="Женский"),H162+1,H162)</f>
        <v>0</v>
      </c>
      <c r="I163" s="13">
        <f t="shared" ref="I163:I194" si="72">IF(AND($K163,$S163&lt;$K$1,$S163&gt;=$I$1,$R163="Мужской"),I162+1,I162)</f>
        <v>1</v>
      </c>
      <c r="J163" s="13">
        <f t="shared" ref="J163:J194" si="73">IF(AND($K163,$S163&lt;$K201,$S163&gt;=$J$1,$R163="Женский"),J162+1,J162)</f>
        <v>0</v>
      </c>
      <c r="K163" s="13" t="b">
        <f t="shared" si="60"/>
        <v>0</v>
      </c>
      <c r="L163" s="59" t="str">
        <f t="shared" si="61"/>
        <v/>
      </c>
      <c r="M163" s="10"/>
      <c r="N163" s="8"/>
      <c r="O163" s="9" t="str">
        <f>IF(ISBLANK($N163),"",VLOOKUP($N163,List!$B$1:$F$2000,2,0))</f>
        <v/>
      </c>
      <c r="P163" s="10" t="str">
        <f>IF(ISBLANK($N163),"",VLOOKUP($N163,List!$B$1:$F$2000,3,0))</f>
        <v/>
      </c>
      <c r="Q163" s="10" t="str">
        <f>IF(ISBLANK($N163),"",VLOOKUP($N163,List!$B$1:$F$2000,4,0))</f>
        <v/>
      </c>
      <c r="R163" s="11" t="str">
        <f>IF(ISBLANK($N163),"",VLOOKUP($N163,List!$B$1:$F$2000,5,0))</f>
        <v/>
      </c>
      <c r="S163" s="61" t="str">
        <f t="shared" si="62"/>
        <v/>
      </c>
      <c r="T163" s="16" t="str">
        <f t="shared" si="63"/>
        <v/>
      </c>
      <c r="V163" t="s">
        <v>26</v>
      </c>
    </row>
    <row r="164" spans="1:22" x14ac:dyDescent="0.2">
      <c r="A164" s="13">
        <f t="shared" si="64"/>
        <v>9</v>
      </c>
      <c r="B164" s="13">
        <f t="shared" si="65"/>
        <v>9</v>
      </c>
      <c r="C164" s="13">
        <f t="shared" si="66"/>
        <v>6</v>
      </c>
      <c r="D164" s="13">
        <f t="shared" si="67"/>
        <v>13</v>
      </c>
      <c r="E164" s="13">
        <f t="shared" si="68"/>
        <v>7</v>
      </c>
      <c r="F164" s="13">
        <f t="shared" si="69"/>
        <v>6</v>
      </c>
      <c r="G164" s="13">
        <f t="shared" si="70"/>
        <v>0</v>
      </c>
      <c r="H164" s="13">
        <f t="shared" si="71"/>
        <v>0</v>
      </c>
      <c r="I164" s="13">
        <f t="shared" si="72"/>
        <v>1</v>
      </c>
      <c r="J164" s="13">
        <f t="shared" si="73"/>
        <v>0</v>
      </c>
      <c r="K164" s="13" t="b">
        <f t="shared" si="60"/>
        <v>0</v>
      </c>
      <c r="L164" s="59" t="str">
        <f t="shared" si="61"/>
        <v/>
      </c>
      <c r="M164" s="10"/>
      <c r="N164" s="8"/>
      <c r="O164" s="9" t="str">
        <f>IF(ISBLANK($N164),"",VLOOKUP($N164,List!$B$1:$F$2000,2,0))</f>
        <v/>
      </c>
      <c r="P164" s="10" t="str">
        <f>IF(ISBLANK($N164),"",VLOOKUP($N164,List!$B$1:$F$2000,3,0))</f>
        <v/>
      </c>
      <c r="Q164" s="10" t="str">
        <f>IF(ISBLANK($N164),"",VLOOKUP($N164,List!$B$1:$F$2000,4,0))</f>
        <v/>
      </c>
      <c r="R164" s="11" t="str">
        <f>IF(ISBLANK($N164),"",VLOOKUP($N164,List!$B$1:$F$2000,5,0))</f>
        <v/>
      </c>
      <c r="S164" s="61" t="str">
        <f t="shared" si="62"/>
        <v/>
      </c>
      <c r="T164" s="16" t="str">
        <f t="shared" si="63"/>
        <v/>
      </c>
      <c r="V164" t="s">
        <v>26</v>
      </c>
    </row>
    <row r="165" spans="1:22" x14ac:dyDescent="0.2">
      <c r="A165" s="13">
        <f t="shared" si="64"/>
        <v>9</v>
      </c>
      <c r="B165" s="13">
        <f t="shared" si="65"/>
        <v>9</v>
      </c>
      <c r="C165" s="13">
        <f t="shared" si="66"/>
        <v>6</v>
      </c>
      <c r="D165" s="13">
        <f t="shared" si="67"/>
        <v>13</v>
      </c>
      <c r="E165" s="13">
        <f t="shared" si="68"/>
        <v>7</v>
      </c>
      <c r="F165" s="13">
        <f t="shared" si="69"/>
        <v>6</v>
      </c>
      <c r="G165" s="13">
        <f t="shared" si="70"/>
        <v>0</v>
      </c>
      <c r="H165" s="13">
        <f t="shared" si="71"/>
        <v>0</v>
      </c>
      <c r="I165" s="13">
        <f t="shared" si="72"/>
        <v>1</v>
      </c>
      <c r="J165" s="13">
        <f t="shared" si="73"/>
        <v>0</v>
      </c>
      <c r="K165" s="13" t="b">
        <f t="shared" si="60"/>
        <v>0</v>
      </c>
      <c r="L165" s="59" t="str">
        <f t="shared" si="61"/>
        <v/>
      </c>
      <c r="M165" s="10"/>
      <c r="N165" s="8"/>
      <c r="O165" s="9" t="str">
        <f>IF(ISBLANK($N165),"",VLOOKUP($N165,List!$B$1:$F$2000,2,0))</f>
        <v/>
      </c>
      <c r="P165" s="10" t="str">
        <f>IF(ISBLANK($N165),"",VLOOKUP($N165,List!$B$1:$F$2000,3,0))</f>
        <v/>
      </c>
      <c r="Q165" s="10" t="str">
        <f>IF(ISBLANK($N165),"",VLOOKUP($N165,List!$B$1:$F$2000,4,0))</f>
        <v/>
      </c>
      <c r="R165" s="11" t="str">
        <f>IF(ISBLANK($N165),"",VLOOKUP($N165,List!$B$1:$F$2000,5,0))</f>
        <v/>
      </c>
      <c r="S165" s="61" t="str">
        <f t="shared" si="62"/>
        <v/>
      </c>
      <c r="T165" s="16" t="str">
        <f t="shared" si="63"/>
        <v/>
      </c>
      <c r="V165" t="s">
        <v>26</v>
      </c>
    </row>
    <row r="166" spans="1:22" x14ac:dyDescent="0.2">
      <c r="A166" s="13">
        <f t="shared" si="64"/>
        <v>9</v>
      </c>
      <c r="B166" s="13">
        <f t="shared" si="65"/>
        <v>9</v>
      </c>
      <c r="C166" s="13">
        <f t="shared" si="66"/>
        <v>6</v>
      </c>
      <c r="D166" s="13">
        <f t="shared" si="67"/>
        <v>13</v>
      </c>
      <c r="E166" s="13">
        <f t="shared" si="68"/>
        <v>7</v>
      </c>
      <c r="F166" s="13">
        <f t="shared" si="69"/>
        <v>6</v>
      </c>
      <c r="G166" s="13">
        <f t="shared" si="70"/>
        <v>0</v>
      </c>
      <c r="H166" s="13">
        <f t="shared" si="71"/>
        <v>0</v>
      </c>
      <c r="I166" s="13">
        <f t="shared" si="72"/>
        <v>1</v>
      </c>
      <c r="J166" s="13">
        <f t="shared" si="73"/>
        <v>0</v>
      </c>
      <c r="K166" s="13" t="b">
        <f t="shared" si="60"/>
        <v>0</v>
      </c>
      <c r="L166" s="59" t="str">
        <f t="shared" si="61"/>
        <v/>
      </c>
      <c r="M166" s="10"/>
      <c r="N166" s="8"/>
      <c r="O166" s="9" t="str">
        <f>IF(ISBLANK($N166),"",VLOOKUP($N166,List!$B$1:$F$2000,2,0))</f>
        <v/>
      </c>
      <c r="P166" s="10" t="str">
        <f>IF(ISBLANK($N166),"",VLOOKUP($N166,List!$B$1:$F$2000,3,0))</f>
        <v/>
      </c>
      <c r="Q166" s="10" t="str">
        <f>IF(ISBLANK($N166),"",VLOOKUP($N166,List!$B$1:$F$2000,4,0))</f>
        <v/>
      </c>
      <c r="R166" s="11" t="str">
        <f>IF(ISBLANK($N166),"",VLOOKUP($N166,List!$B$1:$F$2000,5,0))</f>
        <v/>
      </c>
      <c r="S166" s="61" t="str">
        <f t="shared" si="62"/>
        <v/>
      </c>
      <c r="T166" s="16" t="str">
        <f t="shared" si="63"/>
        <v/>
      </c>
      <c r="V166" t="s">
        <v>26</v>
      </c>
    </row>
    <row r="167" spans="1:22" x14ac:dyDescent="0.2">
      <c r="A167" s="13">
        <f t="shared" si="64"/>
        <v>9</v>
      </c>
      <c r="B167" s="13">
        <f t="shared" si="65"/>
        <v>9</v>
      </c>
      <c r="C167" s="13">
        <f t="shared" si="66"/>
        <v>6</v>
      </c>
      <c r="D167" s="13">
        <f t="shared" si="67"/>
        <v>13</v>
      </c>
      <c r="E167" s="13">
        <f t="shared" si="68"/>
        <v>7</v>
      </c>
      <c r="F167" s="13">
        <f t="shared" si="69"/>
        <v>6</v>
      </c>
      <c r="G167" s="13">
        <f t="shared" si="70"/>
        <v>0</v>
      </c>
      <c r="H167" s="13">
        <f t="shared" si="71"/>
        <v>0</v>
      </c>
      <c r="I167" s="13">
        <f t="shared" si="72"/>
        <v>1</v>
      </c>
      <c r="J167" s="13">
        <f t="shared" si="73"/>
        <v>0</v>
      </c>
      <c r="K167" s="13" t="b">
        <f t="shared" si="60"/>
        <v>0</v>
      </c>
      <c r="L167" s="59" t="str">
        <f t="shared" si="61"/>
        <v/>
      </c>
      <c r="M167" s="10"/>
      <c r="N167" s="8"/>
      <c r="O167" s="9" t="str">
        <f>IF(ISBLANK($N167),"",VLOOKUP($N167,List!$B$1:$F$2000,2,0))</f>
        <v/>
      </c>
      <c r="P167" s="10" t="str">
        <f>IF(ISBLANK($N167),"",VLOOKUP($N167,List!$B$1:$F$2000,3,0))</f>
        <v/>
      </c>
      <c r="Q167" s="10" t="str">
        <f>IF(ISBLANK($N167),"",VLOOKUP($N167,List!$B$1:$F$2000,4,0))</f>
        <v/>
      </c>
      <c r="R167" s="11" t="str">
        <f>IF(ISBLANK($N167),"",VLOOKUP($N167,List!$B$1:$F$2000,5,0))</f>
        <v/>
      </c>
      <c r="S167" s="61" t="str">
        <f t="shared" si="62"/>
        <v/>
      </c>
      <c r="T167" s="16" t="str">
        <f t="shared" si="63"/>
        <v/>
      </c>
      <c r="V167" t="s">
        <v>26</v>
      </c>
    </row>
    <row r="168" spans="1:22" x14ac:dyDescent="0.2">
      <c r="A168" s="13">
        <f t="shared" si="64"/>
        <v>9</v>
      </c>
      <c r="B168" s="13">
        <f t="shared" si="65"/>
        <v>9</v>
      </c>
      <c r="C168" s="13">
        <f t="shared" si="66"/>
        <v>6</v>
      </c>
      <c r="D168" s="13">
        <f t="shared" si="67"/>
        <v>13</v>
      </c>
      <c r="E168" s="13">
        <f t="shared" si="68"/>
        <v>7</v>
      </c>
      <c r="F168" s="13">
        <f t="shared" si="69"/>
        <v>6</v>
      </c>
      <c r="G168" s="13">
        <f t="shared" si="70"/>
        <v>0</v>
      </c>
      <c r="H168" s="13">
        <f t="shared" si="71"/>
        <v>0</v>
      </c>
      <c r="I168" s="13">
        <f t="shared" si="72"/>
        <v>1</v>
      </c>
      <c r="J168" s="13">
        <f t="shared" si="73"/>
        <v>0</v>
      </c>
      <c r="K168" s="13" t="b">
        <f t="shared" si="60"/>
        <v>0</v>
      </c>
      <c r="L168" s="59" t="str">
        <f t="shared" si="61"/>
        <v/>
      </c>
      <c r="M168" s="10"/>
      <c r="N168" s="8"/>
      <c r="O168" s="9" t="str">
        <f>IF(ISBLANK($N168),"",VLOOKUP($N168,List!$B$1:$F$2000,2,0))</f>
        <v/>
      </c>
      <c r="P168" s="10" t="str">
        <f>IF(ISBLANK($N168),"",VLOOKUP($N168,List!$B$1:$F$2000,3,0))</f>
        <v/>
      </c>
      <c r="Q168" s="10" t="str">
        <f>IF(ISBLANK($N168),"",VLOOKUP($N168,List!$B$1:$F$2000,4,0))</f>
        <v/>
      </c>
      <c r="R168" s="11" t="str">
        <f>IF(ISBLANK($N168),"",VLOOKUP($N168,List!$B$1:$F$2000,5,0))</f>
        <v/>
      </c>
      <c r="S168" s="61" t="str">
        <f t="shared" si="62"/>
        <v/>
      </c>
      <c r="T168" s="16" t="str">
        <f t="shared" si="63"/>
        <v/>
      </c>
      <c r="V168" t="s">
        <v>26</v>
      </c>
    </row>
    <row r="169" spans="1:22" x14ac:dyDescent="0.2">
      <c r="A169" s="13">
        <f t="shared" si="64"/>
        <v>9</v>
      </c>
      <c r="B169" s="13">
        <f t="shared" si="65"/>
        <v>9</v>
      </c>
      <c r="C169" s="13">
        <f t="shared" si="66"/>
        <v>6</v>
      </c>
      <c r="D169" s="13">
        <f t="shared" si="67"/>
        <v>13</v>
      </c>
      <c r="E169" s="13">
        <f t="shared" si="68"/>
        <v>7</v>
      </c>
      <c r="F169" s="13">
        <f t="shared" si="69"/>
        <v>6</v>
      </c>
      <c r="G169" s="13">
        <f t="shared" si="70"/>
        <v>0</v>
      </c>
      <c r="H169" s="13">
        <f t="shared" si="71"/>
        <v>0</v>
      </c>
      <c r="I169" s="13">
        <f t="shared" si="72"/>
        <v>1</v>
      </c>
      <c r="J169" s="13">
        <f t="shared" si="73"/>
        <v>0</v>
      </c>
      <c r="K169" s="13" t="b">
        <f t="shared" si="60"/>
        <v>0</v>
      </c>
      <c r="L169" s="59" t="str">
        <f t="shared" si="61"/>
        <v/>
      </c>
      <c r="M169" s="10"/>
      <c r="N169" s="8"/>
      <c r="O169" s="9" t="str">
        <f>IF(ISBLANK($N169),"",VLOOKUP($N169,List!$B$1:$F$2000,2,0))</f>
        <v/>
      </c>
      <c r="P169" s="10" t="str">
        <f>IF(ISBLANK($N169),"",VLOOKUP($N169,List!$B$1:$F$2000,3,0))</f>
        <v/>
      </c>
      <c r="Q169" s="10" t="str">
        <f>IF(ISBLANK($N169),"",VLOOKUP($N169,List!$B$1:$F$2000,4,0))</f>
        <v/>
      </c>
      <c r="R169" s="11" t="str">
        <f>IF(ISBLANK($N169),"",VLOOKUP($N169,List!$B$1:$F$2000,5,0))</f>
        <v/>
      </c>
      <c r="S169" s="61" t="str">
        <f t="shared" si="62"/>
        <v/>
      </c>
      <c r="T169" s="16" t="str">
        <f t="shared" si="63"/>
        <v/>
      </c>
      <c r="V169" t="s">
        <v>26</v>
      </c>
    </row>
    <row r="170" spans="1:22" x14ac:dyDescent="0.2">
      <c r="A170" s="13">
        <f t="shared" si="64"/>
        <v>9</v>
      </c>
      <c r="B170" s="13">
        <f t="shared" si="65"/>
        <v>9</v>
      </c>
      <c r="C170" s="13">
        <f t="shared" si="66"/>
        <v>6</v>
      </c>
      <c r="D170" s="13">
        <f t="shared" si="67"/>
        <v>13</v>
      </c>
      <c r="E170" s="13">
        <f t="shared" si="68"/>
        <v>7</v>
      </c>
      <c r="F170" s="13">
        <f t="shared" si="69"/>
        <v>6</v>
      </c>
      <c r="G170" s="13">
        <f t="shared" si="70"/>
        <v>0</v>
      </c>
      <c r="H170" s="13">
        <f t="shared" si="71"/>
        <v>0</v>
      </c>
      <c r="I170" s="13">
        <f t="shared" si="72"/>
        <v>1</v>
      </c>
      <c r="J170" s="13">
        <f t="shared" si="73"/>
        <v>0</v>
      </c>
      <c r="K170" s="13" t="b">
        <f t="shared" si="60"/>
        <v>0</v>
      </c>
      <c r="L170" s="59" t="str">
        <f t="shared" si="61"/>
        <v/>
      </c>
      <c r="M170" s="10"/>
      <c r="N170" s="8"/>
      <c r="O170" s="9" t="str">
        <f>IF(ISBLANK($N170),"",VLOOKUP($N170,List!$B$1:$F$2000,2,0))</f>
        <v/>
      </c>
      <c r="P170" s="10" t="str">
        <f>IF(ISBLANK($N170),"",VLOOKUP($N170,List!$B$1:$F$2000,3,0))</f>
        <v/>
      </c>
      <c r="Q170" s="10" t="str">
        <f>IF(ISBLANK($N170),"",VLOOKUP($N170,List!$B$1:$F$2000,4,0))</f>
        <v/>
      </c>
      <c r="R170" s="11" t="str">
        <f>IF(ISBLANK($N170),"",VLOOKUP($N170,List!$B$1:$F$2000,5,0))</f>
        <v/>
      </c>
      <c r="S170" s="61" t="str">
        <f t="shared" si="62"/>
        <v/>
      </c>
      <c r="T170" s="16" t="str">
        <f t="shared" si="63"/>
        <v/>
      </c>
      <c r="V170" t="s">
        <v>26</v>
      </c>
    </row>
    <row r="171" spans="1:22" x14ac:dyDescent="0.2">
      <c r="A171" s="13">
        <f t="shared" si="64"/>
        <v>9</v>
      </c>
      <c r="B171" s="13">
        <f t="shared" si="65"/>
        <v>9</v>
      </c>
      <c r="C171" s="13">
        <f t="shared" si="66"/>
        <v>6</v>
      </c>
      <c r="D171" s="13">
        <f t="shared" si="67"/>
        <v>13</v>
      </c>
      <c r="E171" s="13">
        <f t="shared" si="68"/>
        <v>7</v>
      </c>
      <c r="F171" s="13">
        <f t="shared" si="69"/>
        <v>6</v>
      </c>
      <c r="G171" s="13">
        <f t="shared" si="70"/>
        <v>0</v>
      </c>
      <c r="H171" s="13">
        <f t="shared" si="71"/>
        <v>0</v>
      </c>
      <c r="I171" s="13">
        <f t="shared" si="72"/>
        <v>1</v>
      </c>
      <c r="J171" s="13">
        <f t="shared" si="73"/>
        <v>0</v>
      </c>
      <c r="K171" s="13" t="b">
        <f t="shared" si="60"/>
        <v>0</v>
      </c>
      <c r="L171" s="59" t="str">
        <f t="shared" si="61"/>
        <v/>
      </c>
      <c r="M171" s="10"/>
      <c r="N171" s="8"/>
      <c r="O171" s="9" t="str">
        <f>IF(ISBLANK($N171),"",VLOOKUP($N171,List!$B$1:$F$2000,2,0))</f>
        <v/>
      </c>
      <c r="P171" s="10" t="str">
        <f>IF(ISBLANK($N171),"",VLOOKUP($N171,List!$B$1:$F$2000,3,0))</f>
        <v/>
      </c>
      <c r="Q171" s="10" t="str">
        <f>IF(ISBLANK($N171),"",VLOOKUP($N171,List!$B$1:$F$2000,4,0))</f>
        <v/>
      </c>
      <c r="R171" s="11" t="str">
        <f>IF(ISBLANK($N171),"",VLOOKUP($N171,List!$B$1:$F$2000,5,0))</f>
        <v/>
      </c>
      <c r="S171" s="61" t="str">
        <f t="shared" si="62"/>
        <v/>
      </c>
      <c r="T171" s="16" t="str">
        <f t="shared" si="63"/>
        <v/>
      </c>
      <c r="V171" t="s">
        <v>26</v>
      </c>
    </row>
    <row r="172" spans="1:22" x14ac:dyDescent="0.2">
      <c r="A172" s="13">
        <f t="shared" si="64"/>
        <v>9</v>
      </c>
      <c r="B172" s="13">
        <f t="shared" si="65"/>
        <v>9</v>
      </c>
      <c r="C172" s="13">
        <f t="shared" si="66"/>
        <v>6</v>
      </c>
      <c r="D172" s="13">
        <f t="shared" si="67"/>
        <v>13</v>
      </c>
      <c r="E172" s="13">
        <f t="shared" si="68"/>
        <v>7</v>
      </c>
      <c r="F172" s="13">
        <f t="shared" si="69"/>
        <v>6</v>
      </c>
      <c r="G172" s="13">
        <f t="shared" si="70"/>
        <v>0</v>
      </c>
      <c r="H172" s="13">
        <f t="shared" si="71"/>
        <v>0</v>
      </c>
      <c r="I172" s="13">
        <f t="shared" si="72"/>
        <v>1</v>
      </c>
      <c r="J172" s="13">
        <f t="shared" si="73"/>
        <v>0</v>
      </c>
      <c r="K172" s="13" t="b">
        <f t="shared" si="60"/>
        <v>0</v>
      </c>
      <c r="L172" s="59" t="str">
        <f t="shared" si="61"/>
        <v/>
      </c>
      <c r="M172" s="10"/>
      <c r="N172" s="8"/>
      <c r="O172" s="9" t="str">
        <f>IF(ISBLANK($N172),"",VLOOKUP($N172,List!$B$1:$F$2000,2,0))</f>
        <v/>
      </c>
      <c r="P172" s="10" t="str">
        <f>IF(ISBLANK($N172),"",VLOOKUP($N172,List!$B$1:$F$2000,3,0))</f>
        <v/>
      </c>
      <c r="Q172" s="10" t="str">
        <f>IF(ISBLANK($N172),"",VLOOKUP($N172,List!$B$1:$F$2000,4,0))</f>
        <v/>
      </c>
      <c r="R172" s="11" t="str">
        <f>IF(ISBLANK($N172),"",VLOOKUP($N172,List!$B$1:$F$2000,5,0))</f>
        <v/>
      </c>
      <c r="S172" s="61" t="str">
        <f t="shared" si="62"/>
        <v/>
      </c>
      <c r="T172" s="16" t="str">
        <f t="shared" si="63"/>
        <v/>
      </c>
      <c r="V172" t="s">
        <v>26</v>
      </c>
    </row>
    <row r="173" spans="1:22" x14ac:dyDescent="0.2">
      <c r="A173" s="13">
        <f t="shared" si="64"/>
        <v>9</v>
      </c>
      <c r="B173" s="13">
        <f t="shared" si="65"/>
        <v>9</v>
      </c>
      <c r="C173" s="13">
        <f t="shared" si="66"/>
        <v>6</v>
      </c>
      <c r="D173" s="13">
        <f t="shared" si="67"/>
        <v>13</v>
      </c>
      <c r="E173" s="13">
        <f t="shared" si="68"/>
        <v>7</v>
      </c>
      <c r="F173" s="13">
        <f t="shared" si="69"/>
        <v>6</v>
      </c>
      <c r="G173" s="13">
        <f t="shared" si="70"/>
        <v>0</v>
      </c>
      <c r="H173" s="13">
        <f t="shared" si="71"/>
        <v>0</v>
      </c>
      <c r="I173" s="13">
        <f t="shared" si="72"/>
        <v>1</v>
      </c>
      <c r="J173" s="13">
        <f t="shared" si="73"/>
        <v>0</v>
      </c>
      <c r="K173" s="13" t="b">
        <f t="shared" si="60"/>
        <v>0</v>
      </c>
      <c r="L173" s="59" t="str">
        <f t="shared" si="61"/>
        <v/>
      </c>
      <c r="M173" s="10"/>
      <c r="N173" s="8"/>
      <c r="O173" s="9" t="str">
        <f>IF(ISBLANK($N173),"",VLOOKUP($N173,List!$B$1:$F$2000,2,0))</f>
        <v/>
      </c>
      <c r="P173" s="10" t="str">
        <f>IF(ISBLANK($N173),"",VLOOKUP($N173,List!$B$1:$F$2000,3,0))</f>
        <v/>
      </c>
      <c r="Q173" s="10" t="str">
        <f>IF(ISBLANK($N173),"",VLOOKUP($N173,List!$B$1:$F$2000,4,0))</f>
        <v/>
      </c>
      <c r="R173" s="11" t="str">
        <f>IF(ISBLANK($N173),"",VLOOKUP($N173,List!$B$1:$F$2000,5,0))</f>
        <v/>
      </c>
      <c r="S173" s="61" t="str">
        <f t="shared" si="62"/>
        <v/>
      </c>
      <c r="T173" s="16" t="str">
        <f t="shared" si="63"/>
        <v/>
      </c>
      <c r="V173" t="s">
        <v>26</v>
      </c>
    </row>
    <row r="174" spans="1:22" x14ac:dyDescent="0.2">
      <c r="A174" s="13">
        <f t="shared" si="64"/>
        <v>9</v>
      </c>
      <c r="B174" s="13">
        <f t="shared" si="65"/>
        <v>9</v>
      </c>
      <c r="C174" s="13">
        <f t="shared" si="66"/>
        <v>6</v>
      </c>
      <c r="D174" s="13">
        <f t="shared" si="67"/>
        <v>13</v>
      </c>
      <c r="E174" s="13">
        <f t="shared" si="68"/>
        <v>7</v>
      </c>
      <c r="F174" s="13">
        <f t="shared" si="69"/>
        <v>6</v>
      </c>
      <c r="G174" s="13">
        <f t="shared" si="70"/>
        <v>0</v>
      </c>
      <c r="H174" s="13">
        <f t="shared" si="71"/>
        <v>0</v>
      </c>
      <c r="I174" s="13">
        <f t="shared" si="72"/>
        <v>1</v>
      </c>
      <c r="J174" s="13">
        <f t="shared" si="73"/>
        <v>0</v>
      </c>
      <c r="K174" s="13" t="b">
        <f t="shared" si="60"/>
        <v>0</v>
      </c>
      <c r="L174" s="59" t="str">
        <f t="shared" si="61"/>
        <v/>
      </c>
      <c r="M174" s="10"/>
      <c r="N174" s="8"/>
      <c r="O174" s="9" t="str">
        <f>IF(ISBLANK($N174),"",VLOOKUP($N174,List!$B$1:$F$2000,2,0))</f>
        <v/>
      </c>
      <c r="P174" s="10" t="str">
        <f>IF(ISBLANK($N174),"",VLOOKUP($N174,List!$B$1:$F$2000,3,0))</f>
        <v/>
      </c>
      <c r="Q174" s="10" t="str">
        <f>IF(ISBLANK($N174),"",VLOOKUP($N174,List!$B$1:$F$2000,4,0))</f>
        <v/>
      </c>
      <c r="R174" s="11" t="str">
        <f>IF(ISBLANK($N174),"",VLOOKUP($N174,List!$B$1:$F$2000,5,0))</f>
        <v/>
      </c>
      <c r="S174" s="61" t="str">
        <f t="shared" si="62"/>
        <v/>
      </c>
      <c r="T174" s="16" t="str">
        <f t="shared" si="63"/>
        <v/>
      </c>
      <c r="V174" t="s">
        <v>26</v>
      </c>
    </row>
    <row r="175" spans="1:22" x14ac:dyDescent="0.2">
      <c r="A175" s="13">
        <f t="shared" si="64"/>
        <v>9</v>
      </c>
      <c r="B175" s="13">
        <f t="shared" si="65"/>
        <v>9</v>
      </c>
      <c r="C175" s="13">
        <f t="shared" si="66"/>
        <v>6</v>
      </c>
      <c r="D175" s="13">
        <f t="shared" si="67"/>
        <v>13</v>
      </c>
      <c r="E175" s="13">
        <f t="shared" si="68"/>
        <v>7</v>
      </c>
      <c r="F175" s="13">
        <f t="shared" si="69"/>
        <v>6</v>
      </c>
      <c r="G175" s="13">
        <f t="shared" si="70"/>
        <v>0</v>
      </c>
      <c r="H175" s="13">
        <f t="shared" si="71"/>
        <v>0</v>
      </c>
      <c r="I175" s="13">
        <f t="shared" si="72"/>
        <v>1</v>
      </c>
      <c r="J175" s="13">
        <f t="shared" si="73"/>
        <v>0</v>
      </c>
      <c r="K175" s="13" t="b">
        <f t="shared" si="60"/>
        <v>0</v>
      </c>
      <c r="L175" s="59" t="str">
        <f t="shared" si="61"/>
        <v/>
      </c>
      <c r="M175" s="10"/>
      <c r="N175" s="8"/>
      <c r="O175" s="9" t="str">
        <f>IF(ISBLANK($N175),"",VLOOKUP($N175,List!$B$1:$F$2000,2,0))</f>
        <v/>
      </c>
      <c r="P175" s="10" t="str">
        <f>IF(ISBLANK($N175),"",VLOOKUP($N175,List!$B$1:$F$2000,3,0))</f>
        <v/>
      </c>
      <c r="Q175" s="10" t="str">
        <f>IF(ISBLANK($N175),"",VLOOKUP($N175,List!$B$1:$F$2000,4,0))</f>
        <v/>
      </c>
      <c r="R175" s="11" t="str">
        <f>IF(ISBLANK($N175),"",VLOOKUP($N175,List!$B$1:$F$2000,5,0))</f>
        <v/>
      </c>
      <c r="S175" s="61" t="str">
        <f t="shared" si="62"/>
        <v/>
      </c>
      <c r="T175" s="16" t="str">
        <f t="shared" si="63"/>
        <v/>
      </c>
      <c r="V175" t="s">
        <v>26</v>
      </c>
    </row>
    <row r="176" spans="1:22" x14ac:dyDescent="0.2">
      <c r="A176" s="13">
        <f t="shared" si="64"/>
        <v>9</v>
      </c>
      <c r="B176" s="13">
        <f t="shared" si="65"/>
        <v>9</v>
      </c>
      <c r="C176" s="13">
        <f t="shared" si="66"/>
        <v>6</v>
      </c>
      <c r="D176" s="13">
        <f t="shared" si="67"/>
        <v>13</v>
      </c>
      <c r="E176" s="13">
        <f t="shared" si="68"/>
        <v>7</v>
      </c>
      <c r="F176" s="13">
        <f t="shared" si="69"/>
        <v>6</v>
      </c>
      <c r="G176" s="13">
        <f t="shared" si="70"/>
        <v>0</v>
      </c>
      <c r="H176" s="13">
        <f t="shared" si="71"/>
        <v>0</v>
      </c>
      <c r="I176" s="13">
        <f t="shared" si="72"/>
        <v>1</v>
      </c>
      <c r="J176" s="13">
        <f t="shared" si="73"/>
        <v>0</v>
      </c>
      <c r="K176" s="13" t="b">
        <f t="shared" si="60"/>
        <v>0</v>
      </c>
      <c r="L176" s="59" t="str">
        <f t="shared" si="61"/>
        <v/>
      </c>
      <c r="M176" s="10"/>
      <c r="N176" s="8"/>
      <c r="O176" s="9" t="str">
        <f>IF(ISBLANK($N176),"",VLOOKUP($N176,List!$B$1:$F$2000,2,0))</f>
        <v/>
      </c>
      <c r="P176" s="10" t="str">
        <f>IF(ISBLANK($N176),"",VLOOKUP($N176,List!$B$1:$F$2000,3,0))</f>
        <v/>
      </c>
      <c r="Q176" s="10" t="str">
        <f>IF(ISBLANK($N176),"",VLOOKUP($N176,List!$B$1:$F$2000,4,0))</f>
        <v/>
      </c>
      <c r="R176" s="11" t="str">
        <f>IF(ISBLANK($N176),"",VLOOKUP($N176,List!$B$1:$F$2000,5,0))</f>
        <v/>
      </c>
      <c r="S176" s="61" t="str">
        <f t="shared" si="62"/>
        <v/>
      </c>
      <c r="T176" s="16" t="str">
        <f t="shared" si="63"/>
        <v/>
      </c>
      <c r="V176" t="s">
        <v>26</v>
      </c>
    </row>
    <row r="177" spans="1:22" x14ac:dyDescent="0.2">
      <c r="A177" s="13">
        <f t="shared" si="64"/>
        <v>9</v>
      </c>
      <c r="B177" s="13">
        <f t="shared" si="65"/>
        <v>9</v>
      </c>
      <c r="C177" s="13">
        <f t="shared" si="66"/>
        <v>6</v>
      </c>
      <c r="D177" s="13">
        <f t="shared" si="67"/>
        <v>13</v>
      </c>
      <c r="E177" s="13">
        <f t="shared" si="68"/>
        <v>7</v>
      </c>
      <c r="F177" s="13">
        <f t="shared" si="69"/>
        <v>6</v>
      </c>
      <c r="G177" s="13">
        <f t="shared" si="70"/>
        <v>0</v>
      </c>
      <c r="H177" s="13">
        <f t="shared" si="71"/>
        <v>0</v>
      </c>
      <c r="I177" s="13">
        <f t="shared" si="72"/>
        <v>1</v>
      </c>
      <c r="J177" s="13">
        <f t="shared" si="73"/>
        <v>0</v>
      </c>
      <c r="K177" s="13" t="b">
        <f t="shared" si="60"/>
        <v>0</v>
      </c>
      <c r="L177" s="59" t="str">
        <f t="shared" si="61"/>
        <v/>
      </c>
      <c r="M177" s="10"/>
      <c r="N177" s="8"/>
      <c r="O177" s="9" t="str">
        <f>IF(ISBLANK($N177),"",VLOOKUP($N177,List!$B$1:$F$2000,2,0))</f>
        <v/>
      </c>
      <c r="P177" s="10" t="str">
        <f>IF(ISBLANK($N177),"",VLOOKUP($N177,List!$B$1:$F$2000,3,0))</f>
        <v/>
      </c>
      <c r="Q177" s="10" t="str">
        <f>IF(ISBLANK($N177),"",VLOOKUP($N177,List!$B$1:$F$2000,4,0))</f>
        <v/>
      </c>
      <c r="R177" s="11" t="str">
        <f>IF(ISBLANK($N177),"",VLOOKUP($N177,List!$B$1:$F$2000,5,0))</f>
        <v/>
      </c>
      <c r="S177" s="61" t="str">
        <f t="shared" si="62"/>
        <v/>
      </c>
      <c r="T177" s="16" t="str">
        <f t="shared" si="63"/>
        <v/>
      </c>
      <c r="V177" t="s">
        <v>26</v>
      </c>
    </row>
    <row r="178" spans="1:22" x14ac:dyDescent="0.2">
      <c r="A178" s="13">
        <f t="shared" si="64"/>
        <v>9</v>
      </c>
      <c r="B178" s="13">
        <f t="shared" si="65"/>
        <v>9</v>
      </c>
      <c r="C178" s="13">
        <f t="shared" si="66"/>
        <v>6</v>
      </c>
      <c r="D178" s="13">
        <f t="shared" si="67"/>
        <v>13</v>
      </c>
      <c r="E178" s="13">
        <f t="shared" si="68"/>
        <v>7</v>
      </c>
      <c r="F178" s="13">
        <f t="shared" si="69"/>
        <v>6</v>
      </c>
      <c r="G178" s="13">
        <f t="shared" si="70"/>
        <v>0</v>
      </c>
      <c r="H178" s="13">
        <f t="shared" si="71"/>
        <v>0</v>
      </c>
      <c r="I178" s="13">
        <f t="shared" si="72"/>
        <v>1</v>
      </c>
      <c r="J178" s="13">
        <f t="shared" si="73"/>
        <v>0</v>
      </c>
      <c r="K178" s="13" t="b">
        <f t="shared" si="60"/>
        <v>0</v>
      </c>
      <c r="L178" s="59" t="str">
        <f t="shared" si="61"/>
        <v/>
      </c>
      <c r="M178" s="10"/>
      <c r="N178" s="8"/>
      <c r="O178" s="9" t="str">
        <f>IF(ISBLANK($N178),"",VLOOKUP($N178,List!$B$1:$F$2000,2,0))</f>
        <v/>
      </c>
      <c r="P178" s="10" t="str">
        <f>IF(ISBLANK($N178),"",VLOOKUP($N178,List!$B$1:$F$2000,3,0))</f>
        <v/>
      </c>
      <c r="Q178" s="10" t="str">
        <f>IF(ISBLANK($N178),"",VLOOKUP($N178,List!$B$1:$F$2000,4,0))</f>
        <v/>
      </c>
      <c r="R178" s="11" t="str">
        <f>IF(ISBLANK($N178),"",VLOOKUP($N178,List!$B$1:$F$2000,5,0))</f>
        <v/>
      </c>
      <c r="S178" s="61" t="str">
        <f t="shared" si="62"/>
        <v/>
      </c>
      <c r="T178" s="16" t="str">
        <f t="shared" si="63"/>
        <v/>
      </c>
      <c r="V178" t="s">
        <v>26</v>
      </c>
    </row>
    <row r="179" spans="1:22" x14ac:dyDescent="0.2">
      <c r="A179" s="13">
        <f t="shared" si="64"/>
        <v>9</v>
      </c>
      <c r="B179" s="13">
        <f t="shared" si="65"/>
        <v>9</v>
      </c>
      <c r="C179" s="13">
        <f t="shared" si="66"/>
        <v>6</v>
      </c>
      <c r="D179" s="13">
        <f t="shared" si="67"/>
        <v>13</v>
      </c>
      <c r="E179" s="13">
        <f t="shared" si="68"/>
        <v>7</v>
      </c>
      <c r="F179" s="13">
        <f t="shared" si="69"/>
        <v>6</v>
      </c>
      <c r="G179" s="13">
        <f t="shared" si="70"/>
        <v>0</v>
      </c>
      <c r="H179" s="13">
        <f t="shared" si="71"/>
        <v>0</v>
      </c>
      <c r="I179" s="13">
        <f t="shared" si="72"/>
        <v>1</v>
      </c>
      <c r="J179" s="13">
        <f t="shared" si="73"/>
        <v>0</v>
      </c>
      <c r="K179" s="13" t="b">
        <f t="shared" si="60"/>
        <v>0</v>
      </c>
      <c r="L179" s="59" t="str">
        <f t="shared" si="61"/>
        <v/>
      </c>
      <c r="M179" s="10"/>
      <c r="N179" s="8"/>
      <c r="O179" s="9" t="str">
        <f>IF(ISBLANK($N179),"",VLOOKUP($N179,List!$B$1:$F$2000,2,0))</f>
        <v/>
      </c>
      <c r="P179" s="10" t="str">
        <f>IF(ISBLANK($N179),"",VLOOKUP($N179,List!$B$1:$F$2000,3,0))</f>
        <v/>
      </c>
      <c r="Q179" s="10" t="str">
        <f>IF(ISBLANK($N179),"",VLOOKUP($N179,List!$B$1:$F$2000,4,0))</f>
        <v/>
      </c>
      <c r="R179" s="11" t="str">
        <f>IF(ISBLANK($N179),"",VLOOKUP($N179,List!$B$1:$F$2000,5,0))</f>
        <v/>
      </c>
      <c r="S179" s="61" t="str">
        <f t="shared" si="62"/>
        <v/>
      </c>
      <c r="T179" s="16" t="str">
        <f t="shared" si="63"/>
        <v/>
      </c>
      <c r="V179" t="s">
        <v>26</v>
      </c>
    </row>
    <row r="180" spans="1:22" x14ac:dyDescent="0.2">
      <c r="A180" s="13">
        <f t="shared" si="64"/>
        <v>9</v>
      </c>
      <c r="B180" s="13">
        <f t="shared" si="65"/>
        <v>9</v>
      </c>
      <c r="C180" s="13">
        <f t="shared" si="66"/>
        <v>6</v>
      </c>
      <c r="D180" s="13">
        <f t="shared" si="67"/>
        <v>13</v>
      </c>
      <c r="E180" s="13">
        <f t="shared" si="68"/>
        <v>7</v>
      </c>
      <c r="F180" s="13">
        <f t="shared" si="69"/>
        <v>6</v>
      </c>
      <c r="G180" s="13">
        <f t="shared" si="70"/>
        <v>0</v>
      </c>
      <c r="H180" s="13">
        <f t="shared" si="71"/>
        <v>0</v>
      </c>
      <c r="I180" s="13">
        <f t="shared" si="72"/>
        <v>1</v>
      </c>
      <c r="J180" s="13">
        <f t="shared" si="73"/>
        <v>0</v>
      </c>
      <c r="K180" s="13" t="b">
        <f t="shared" si="60"/>
        <v>0</v>
      </c>
      <c r="L180" s="59" t="str">
        <f t="shared" si="61"/>
        <v/>
      </c>
      <c r="M180" s="10"/>
      <c r="N180" s="8"/>
      <c r="O180" s="9" t="str">
        <f>IF(ISBLANK($N180),"",VLOOKUP($N180,List!$B$1:$F$2000,2,0))</f>
        <v/>
      </c>
      <c r="P180" s="10" t="str">
        <f>IF(ISBLANK($N180),"",VLOOKUP($N180,List!$B$1:$F$2000,3,0))</f>
        <v/>
      </c>
      <c r="Q180" s="10" t="str">
        <f>IF(ISBLANK($N180),"",VLOOKUP($N180,List!$B$1:$F$2000,4,0))</f>
        <v/>
      </c>
      <c r="R180" s="11" t="str">
        <f>IF(ISBLANK($N180),"",VLOOKUP($N180,List!$B$1:$F$2000,5,0))</f>
        <v/>
      </c>
      <c r="S180" s="61" t="str">
        <f t="shared" si="62"/>
        <v/>
      </c>
      <c r="T180" s="16" t="str">
        <f t="shared" si="63"/>
        <v/>
      </c>
      <c r="V180" t="s">
        <v>26</v>
      </c>
    </row>
    <row r="181" spans="1:22" x14ac:dyDescent="0.2">
      <c r="A181" s="13">
        <f t="shared" si="64"/>
        <v>9</v>
      </c>
      <c r="B181" s="13">
        <f t="shared" si="65"/>
        <v>9</v>
      </c>
      <c r="C181" s="13">
        <f t="shared" si="66"/>
        <v>6</v>
      </c>
      <c r="D181" s="13">
        <f t="shared" si="67"/>
        <v>13</v>
      </c>
      <c r="E181" s="13">
        <f t="shared" si="68"/>
        <v>7</v>
      </c>
      <c r="F181" s="13">
        <f t="shared" si="69"/>
        <v>6</v>
      </c>
      <c r="G181" s="13">
        <f t="shared" si="70"/>
        <v>0</v>
      </c>
      <c r="H181" s="13">
        <f t="shared" si="71"/>
        <v>0</v>
      </c>
      <c r="I181" s="13">
        <f t="shared" si="72"/>
        <v>1</v>
      </c>
      <c r="J181" s="13">
        <f t="shared" si="73"/>
        <v>0</v>
      </c>
      <c r="K181" s="13" t="b">
        <f t="shared" si="60"/>
        <v>0</v>
      </c>
      <c r="L181" s="59" t="str">
        <f t="shared" si="61"/>
        <v/>
      </c>
      <c r="M181" s="10"/>
      <c r="N181" s="8"/>
      <c r="O181" s="9" t="str">
        <f>IF(ISBLANK($N181),"",VLOOKUP($N181,List!$B$1:$F$2000,2,0))</f>
        <v/>
      </c>
      <c r="P181" s="10" t="str">
        <f>IF(ISBLANK($N181),"",VLOOKUP($N181,List!$B$1:$F$2000,3,0))</f>
        <v/>
      </c>
      <c r="Q181" s="10" t="str">
        <f>IF(ISBLANK($N181),"",VLOOKUP($N181,List!$B$1:$F$2000,4,0))</f>
        <v/>
      </c>
      <c r="R181" s="11" t="str">
        <f>IF(ISBLANK($N181),"",VLOOKUP($N181,List!$B$1:$F$2000,5,0))</f>
        <v/>
      </c>
      <c r="S181" s="61" t="str">
        <f t="shared" si="62"/>
        <v/>
      </c>
      <c r="T181" s="16" t="str">
        <f t="shared" si="63"/>
        <v/>
      </c>
      <c r="V181" t="s">
        <v>26</v>
      </c>
    </row>
    <row r="182" spans="1:22" x14ac:dyDescent="0.2">
      <c r="A182" s="13">
        <f t="shared" si="64"/>
        <v>9</v>
      </c>
      <c r="B182" s="13">
        <f t="shared" si="65"/>
        <v>9</v>
      </c>
      <c r="C182" s="13">
        <f t="shared" si="66"/>
        <v>6</v>
      </c>
      <c r="D182" s="13">
        <f t="shared" si="67"/>
        <v>13</v>
      </c>
      <c r="E182" s="13">
        <f t="shared" si="68"/>
        <v>7</v>
      </c>
      <c r="F182" s="13">
        <f t="shared" si="69"/>
        <v>6</v>
      </c>
      <c r="G182" s="13">
        <f t="shared" si="70"/>
        <v>0</v>
      </c>
      <c r="H182" s="13">
        <f t="shared" si="71"/>
        <v>0</v>
      </c>
      <c r="I182" s="13">
        <f t="shared" si="72"/>
        <v>1</v>
      </c>
      <c r="J182" s="13">
        <f t="shared" si="73"/>
        <v>0</v>
      </c>
      <c r="K182" s="13" t="b">
        <f t="shared" si="60"/>
        <v>0</v>
      </c>
      <c r="L182" s="59" t="str">
        <f t="shared" si="61"/>
        <v/>
      </c>
      <c r="M182" s="10"/>
      <c r="N182" s="8"/>
      <c r="O182" s="9" t="str">
        <f>IF(ISBLANK($N182),"",VLOOKUP($N182,List!$B$1:$F$2000,2,0))</f>
        <v/>
      </c>
      <c r="P182" s="10" t="str">
        <f>IF(ISBLANK($N182),"",VLOOKUP($N182,List!$B$1:$F$2000,3,0))</f>
        <v/>
      </c>
      <c r="Q182" s="10" t="str">
        <f>IF(ISBLANK($N182),"",VLOOKUP($N182,List!$B$1:$F$2000,4,0))</f>
        <v/>
      </c>
      <c r="R182" s="11" t="str">
        <f>IF(ISBLANK($N182),"",VLOOKUP($N182,List!$B$1:$F$2000,5,0))</f>
        <v/>
      </c>
      <c r="S182" s="61" t="str">
        <f t="shared" si="62"/>
        <v/>
      </c>
      <c r="T182" s="16" t="str">
        <f t="shared" si="63"/>
        <v/>
      </c>
      <c r="V182" t="s">
        <v>26</v>
      </c>
    </row>
    <row r="183" spans="1:22" x14ac:dyDescent="0.2">
      <c r="A183" s="13">
        <f t="shared" si="64"/>
        <v>9</v>
      </c>
      <c r="B183" s="13">
        <f t="shared" si="65"/>
        <v>9</v>
      </c>
      <c r="C183" s="13">
        <f t="shared" si="66"/>
        <v>6</v>
      </c>
      <c r="D183" s="13">
        <f t="shared" si="67"/>
        <v>13</v>
      </c>
      <c r="E183" s="13">
        <f t="shared" si="68"/>
        <v>7</v>
      </c>
      <c r="F183" s="13">
        <f t="shared" si="69"/>
        <v>6</v>
      </c>
      <c r="G183" s="13">
        <f t="shared" si="70"/>
        <v>0</v>
      </c>
      <c r="H183" s="13">
        <f t="shared" si="71"/>
        <v>0</v>
      </c>
      <c r="I183" s="13">
        <f t="shared" si="72"/>
        <v>1</v>
      </c>
      <c r="J183" s="13">
        <f t="shared" si="73"/>
        <v>0</v>
      </c>
      <c r="K183" s="13" t="b">
        <f t="shared" si="60"/>
        <v>0</v>
      </c>
      <c r="L183" s="59" t="str">
        <f t="shared" si="61"/>
        <v/>
      </c>
      <c r="M183" s="10"/>
      <c r="N183" s="8"/>
      <c r="O183" s="9" t="str">
        <f>IF(ISBLANK($N183),"",VLOOKUP($N183,List!$B$1:$F$2000,2,0))</f>
        <v/>
      </c>
      <c r="P183" s="10" t="str">
        <f>IF(ISBLANK($N183),"",VLOOKUP($N183,List!$B$1:$F$2000,3,0))</f>
        <v/>
      </c>
      <c r="Q183" s="10" t="str">
        <f>IF(ISBLANK($N183),"",VLOOKUP($N183,List!$B$1:$F$2000,4,0))</f>
        <v/>
      </c>
      <c r="R183" s="11" t="str">
        <f>IF(ISBLANK($N183),"",VLOOKUP($N183,List!$B$1:$F$2000,5,0))</f>
        <v/>
      </c>
      <c r="S183" s="61" t="str">
        <f t="shared" si="62"/>
        <v/>
      </c>
      <c r="T183" s="16" t="str">
        <f t="shared" si="63"/>
        <v/>
      </c>
      <c r="V183" t="s">
        <v>26</v>
      </c>
    </row>
    <row r="184" spans="1:22" x14ac:dyDescent="0.2">
      <c r="A184" s="13">
        <f t="shared" si="64"/>
        <v>9</v>
      </c>
      <c r="B184" s="13">
        <f t="shared" si="65"/>
        <v>9</v>
      </c>
      <c r="C184" s="13">
        <f t="shared" si="66"/>
        <v>6</v>
      </c>
      <c r="D184" s="13">
        <f t="shared" si="67"/>
        <v>13</v>
      </c>
      <c r="E184" s="13">
        <f t="shared" si="68"/>
        <v>7</v>
      </c>
      <c r="F184" s="13">
        <f t="shared" si="69"/>
        <v>6</v>
      </c>
      <c r="G184" s="13">
        <f t="shared" si="70"/>
        <v>0</v>
      </c>
      <c r="H184" s="13">
        <f t="shared" si="71"/>
        <v>0</v>
      </c>
      <c r="I184" s="13">
        <f t="shared" si="72"/>
        <v>1</v>
      </c>
      <c r="J184" s="13">
        <f t="shared" si="73"/>
        <v>0</v>
      </c>
      <c r="K184" s="13" t="b">
        <f t="shared" si="60"/>
        <v>0</v>
      </c>
      <c r="L184" s="59" t="str">
        <f t="shared" si="61"/>
        <v/>
      </c>
      <c r="M184" s="10"/>
      <c r="N184" s="8"/>
      <c r="O184" s="9" t="str">
        <f>IF(ISBLANK($N184),"",VLOOKUP($N184,List!$B$1:$F$2000,2,0))</f>
        <v/>
      </c>
      <c r="P184" s="10" t="str">
        <f>IF(ISBLANK($N184),"",VLOOKUP($N184,List!$B$1:$F$2000,3,0))</f>
        <v/>
      </c>
      <c r="Q184" s="10" t="str">
        <f>IF(ISBLANK($N184),"",VLOOKUP($N184,List!$B$1:$F$2000,4,0))</f>
        <v/>
      </c>
      <c r="R184" s="11" t="str">
        <f>IF(ISBLANK($N184),"",VLOOKUP($N184,List!$B$1:$F$2000,5,0))</f>
        <v/>
      </c>
      <c r="S184" s="61" t="str">
        <f t="shared" si="62"/>
        <v/>
      </c>
      <c r="T184" s="16" t="str">
        <f t="shared" si="63"/>
        <v/>
      </c>
      <c r="V184" t="s">
        <v>26</v>
      </c>
    </row>
    <row r="185" spans="1:22" x14ac:dyDescent="0.2">
      <c r="A185" s="13">
        <f t="shared" si="64"/>
        <v>9</v>
      </c>
      <c r="B185" s="13">
        <f t="shared" si="65"/>
        <v>9</v>
      </c>
      <c r="C185" s="13">
        <f t="shared" si="66"/>
        <v>6</v>
      </c>
      <c r="D185" s="13">
        <f t="shared" si="67"/>
        <v>13</v>
      </c>
      <c r="E185" s="13">
        <f t="shared" si="68"/>
        <v>7</v>
      </c>
      <c r="F185" s="13">
        <f t="shared" si="69"/>
        <v>6</v>
      </c>
      <c r="G185" s="13">
        <f t="shared" si="70"/>
        <v>0</v>
      </c>
      <c r="H185" s="13">
        <f t="shared" si="71"/>
        <v>0</v>
      </c>
      <c r="I185" s="13">
        <f t="shared" si="72"/>
        <v>1</v>
      </c>
      <c r="J185" s="13">
        <f t="shared" si="73"/>
        <v>0</v>
      </c>
      <c r="K185" s="13" t="b">
        <f t="shared" si="60"/>
        <v>0</v>
      </c>
      <c r="L185" s="59" t="str">
        <f t="shared" si="61"/>
        <v/>
      </c>
      <c r="M185" s="10"/>
      <c r="N185" s="8"/>
      <c r="O185" s="9" t="str">
        <f>IF(ISBLANK($N185),"",VLOOKUP($N185,List!$B$1:$F$2000,2,0))</f>
        <v/>
      </c>
      <c r="P185" s="10" t="str">
        <f>IF(ISBLANK($N185),"",VLOOKUP($N185,List!$B$1:$F$2000,3,0))</f>
        <v/>
      </c>
      <c r="Q185" s="10" t="str">
        <f>IF(ISBLANK($N185),"",VLOOKUP($N185,List!$B$1:$F$2000,4,0))</f>
        <v/>
      </c>
      <c r="R185" s="11" t="str">
        <f>IF(ISBLANK($N185),"",VLOOKUP($N185,List!$B$1:$F$2000,5,0))</f>
        <v/>
      </c>
      <c r="S185" s="61" t="str">
        <f t="shared" si="62"/>
        <v/>
      </c>
      <c r="T185" s="16" t="str">
        <f t="shared" si="63"/>
        <v/>
      </c>
      <c r="V185" t="s">
        <v>26</v>
      </c>
    </row>
    <row r="186" spans="1:22" x14ac:dyDescent="0.2">
      <c r="A186" s="13">
        <f t="shared" si="64"/>
        <v>9</v>
      </c>
      <c r="B186" s="13">
        <f t="shared" si="65"/>
        <v>9</v>
      </c>
      <c r="C186" s="13">
        <f t="shared" si="66"/>
        <v>6</v>
      </c>
      <c r="D186" s="13">
        <f t="shared" si="67"/>
        <v>13</v>
      </c>
      <c r="E186" s="13">
        <f t="shared" si="68"/>
        <v>7</v>
      </c>
      <c r="F186" s="13">
        <f t="shared" si="69"/>
        <v>6</v>
      </c>
      <c r="G186" s="13">
        <f t="shared" si="70"/>
        <v>0</v>
      </c>
      <c r="H186" s="13">
        <f t="shared" si="71"/>
        <v>0</v>
      </c>
      <c r="I186" s="13">
        <f t="shared" si="72"/>
        <v>1</v>
      </c>
      <c r="J186" s="13">
        <f t="shared" si="73"/>
        <v>0</v>
      </c>
      <c r="K186" s="13" t="b">
        <f t="shared" si="60"/>
        <v>0</v>
      </c>
      <c r="L186" s="59" t="str">
        <f t="shared" si="61"/>
        <v/>
      </c>
      <c r="M186" s="10"/>
      <c r="N186" s="8"/>
      <c r="O186" s="9" t="str">
        <f>IF(ISBLANK($N186),"",VLOOKUP($N186,List!$B$1:$F$2000,2,0))</f>
        <v/>
      </c>
      <c r="P186" s="10" t="str">
        <f>IF(ISBLANK($N186),"",VLOOKUP($N186,List!$B$1:$F$2000,3,0))</f>
        <v/>
      </c>
      <c r="Q186" s="10" t="str">
        <f>IF(ISBLANK($N186),"",VLOOKUP($N186,List!$B$1:$F$2000,4,0))</f>
        <v/>
      </c>
      <c r="R186" s="11" t="str">
        <f>IF(ISBLANK($N186),"",VLOOKUP($N186,List!$B$1:$F$2000,5,0))</f>
        <v/>
      </c>
      <c r="S186" s="61" t="str">
        <f t="shared" si="62"/>
        <v/>
      </c>
      <c r="T186" s="16" t="str">
        <f t="shared" si="63"/>
        <v/>
      </c>
      <c r="V186" t="s">
        <v>26</v>
      </c>
    </row>
    <row r="187" spans="1:22" x14ac:dyDescent="0.2">
      <c r="A187" s="13">
        <f t="shared" si="64"/>
        <v>9</v>
      </c>
      <c r="B187" s="13">
        <f t="shared" si="65"/>
        <v>9</v>
      </c>
      <c r="C187" s="13">
        <f t="shared" si="66"/>
        <v>6</v>
      </c>
      <c r="D187" s="13">
        <f t="shared" si="67"/>
        <v>13</v>
      </c>
      <c r="E187" s="13">
        <f t="shared" si="68"/>
        <v>7</v>
      </c>
      <c r="F187" s="13">
        <f t="shared" si="69"/>
        <v>6</v>
      </c>
      <c r="G187" s="13">
        <f t="shared" si="70"/>
        <v>0</v>
      </c>
      <c r="H187" s="13">
        <f t="shared" si="71"/>
        <v>0</v>
      </c>
      <c r="I187" s="13">
        <f t="shared" si="72"/>
        <v>1</v>
      </c>
      <c r="J187" s="13">
        <f t="shared" si="73"/>
        <v>0</v>
      </c>
      <c r="K187" s="13" t="b">
        <f t="shared" si="60"/>
        <v>0</v>
      </c>
      <c r="L187" s="59" t="str">
        <f t="shared" si="61"/>
        <v/>
      </c>
      <c r="M187" s="10"/>
      <c r="N187" s="8"/>
      <c r="O187" s="9" t="str">
        <f>IF(ISBLANK($N187),"",VLOOKUP($N187,List!$B$1:$F$2000,2,0))</f>
        <v/>
      </c>
      <c r="P187" s="10" t="str">
        <f>IF(ISBLANK($N187),"",VLOOKUP($N187,List!$B$1:$F$2000,3,0))</f>
        <v/>
      </c>
      <c r="Q187" s="10" t="str">
        <f>IF(ISBLANK($N187),"",VLOOKUP($N187,List!$B$1:$F$2000,4,0))</f>
        <v/>
      </c>
      <c r="R187" s="11" t="str">
        <f>IF(ISBLANK($N187),"",VLOOKUP($N187,List!$B$1:$F$2000,5,0))</f>
        <v/>
      </c>
      <c r="S187" s="61" t="str">
        <f t="shared" si="62"/>
        <v/>
      </c>
      <c r="T187" s="16" t="str">
        <f t="shared" si="63"/>
        <v/>
      </c>
      <c r="V187" t="s">
        <v>26</v>
      </c>
    </row>
    <row r="188" spans="1:22" x14ac:dyDescent="0.2">
      <c r="A188" s="13">
        <f t="shared" si="64"/>
        <v>9</v>
      </c>
      <c r="B188" s="13">
        <f t="shared" si="65"/>
        <v>9</v>
      </c>
      <c r="C188" s="13">
        <f t="shared" si="66"/>
        <v>6</v>
      </c>
      <c r="D188" s="13">
        <f t="shared" si="67"/>
        <v>13</v>
      </c>
      <c r="E188" s="13">
        <f t="shared" si="68"/>
        <v>7</v>
      </c>
      <c r="F188" s="13">
        <f t="shared" si="69"/>
        <v>6</v>
      </c>
      <c r="G188" s="13">
        <f t="shared" si="70"/>
        <v>0</v>
      </c>
      <c r="H188" s="13">
        <f t="shared" si="71"/>
        <v>0</v>
      </c>
      <c r="I188" s="13">
        <f t="shared" si="72"/>
        <v>1</v>
      </c>
      <c r="J188" s="13">
        <f t="shared" si="73"/>
        <v>0</v>
      </c>
      <c r="K188" s="13" t="b">
        <f t="shared" si="60"/>
        <v>0</v>
      </c>
      <c r="L188" s="59" t="str">
        <f t="shared" si="61"/>
        <v/>
      </c>
      <c r="M188" s="10"/>
      <c r="N188" s="8"/>
      <c r="O188" s="9" t="str">
        <f>IF(ISBLANK($N188),"",VLOOKUP($N188,List!$B$1:$F$2000,2,0))</f>
        <v/>
      </c>
      <c r="P188" s="10" t="str">
        <f>IF(ISBLANK($N188),"",VLOOKUP($N188,List!$B$1:$F$2000,3,0))</f>
        <v/>
      </c>
      <c r="Q188" s="10" t="str">
        <f>IF(ISBLANK($N188),"",VLOOKUP($N188,List!$B$1:$F$2000,4,0))</f>
        <v/>
      </c>
      <c r="R188" s="11" t="str">
        <f>IF(ISBLANK($N188),"",VLOOKUP($N188,List!$B$1:$F$2000,5,0))</f>
        <v/>
      </c>
      <c r="S188" s="61" t="str">
        <f t="shared" si="62"/>
        <v/>
      </c>
      <c r="T188" s="16" t="str">
        <f t="shared" si="63"/>
        <v/>
      </c>
      <c r="V188" t="s">
        <v>26</v>
      </c>
    </row>
    <row r="189" spans="1:22" x14ac:dyDescent="0.2">
      <c r="A189" s="13">
        <f t="shared" si="64"/>
        <v>9</v>
      </c>
      <c r="B189" s="13">
        <f t="shared" si="65"/>
        <v>9</v>
      </c>
      <c r="C189" s="13">
        <f t="shared" si="66"/>
        <v>6</v>
      </c>
      <c r="D189" s="13">
        <f t="shared" si="67"/>
        <v>13</v>
      </c>
      <c r="E189" s="13">
        <f t="shared" si="68"/>
        <v>7</v>
      </c>
      <c r="F189" s="13">
        <f t="shared" si="69"/>
        <v>6</v>
      </c>
      <c r="G189" s="13">
        <f t="shared" si="70"/>
        <v>0</v>
      </c>
      <c r="H189" s="13">
        <f t="shared" si="71"/>
        <v>0</v>
      </c>
      <c r="I189" s="13">
        <f t="shared" si="72"/>
        <v>1</v>
      </c>
      <c r="J189" s="13">
        <f t="shared" si="73"/>
        <v>0</v>
      </c>
      <c r="K189" s="13" t="b">
        <f t="shared" si="60"/>
        <v>0</v>
      </c>
      <c r="L189" s="59" t="str">
        <f t="shared" si="61"/>
        <v/>
      </c>
      <c r="M189" s="10"/>
      <c r="N189" s="8"/>
      <c r="O189" s="9" t="str">
        <f>IF(ISBLANK($N189),"",VLOOKUP($N189,List!$B$1:$F$2000,2,0))</f>
        <v/>
      </c>
      <c r="P189" s="10" t="str">
        <f>IF(ISBLANK($N189),"",VLOOKUP($N189,List!$B$1:$F$2000,3,0))</f>
        <v/>
      </c>
      <c r="Q189" s="10" t="str">
        <f>IF(ISBLANK($N189),"",VLOOKUP($N189,List!$B$1:$F$2000,4,0))</f>
        <v/>
      </c>
      <c r="R189" s="11" t="str">
        <f>IF(ISBLANK($N189),"",VLOOKUP($N189,List!$B$1:$F$2000,5,0))</f>
        <v/>
      </c>
      <c r="S189" s="61" t="str">
        <f t="shared" si="62"/>
        <v/>
      </c>
      <c r="T189" s="16" t="str">
        <f t="shared" si="63"/>
        <v/>
      </c>
      <c r="V189" t="s">
        <v>26</v>
      </c>
    </row>
    <row r="190" spans="1:22" x14ac:dyDescent="0.2">
      <c r="A190" s="13">
        <f t="shared" si="64"/>
        <v>9</v>
      </c>
      <c r="B190" s="13">
        <f t="shared" si="65"/>
        <v>9</v>
      </c>
      <c r="C190" s="13">
        <f t="shared" si="66"/>
        <v>6</v>
      </c>
      <c r="D190" s="13">
        <f t="shared" si="67"/>
        <v>13</v>
      </c>
      <c r="E190" s="13">
        <f t="shared" si="68"/>
        <v>7</v>
      </c>
      <c r="F190" s="13">
        <f t="shared" si="69"/>
        <v>6</v>
      </c>
      <c r="G190" s="13">
        <f t="shared" si="70"/>
        <v>0</v>
      </c>
      <c r="H190" s="13">
        <f t="shared" si="71"/>
        <v>0</v>
      </c>
      <c r="I190" s="13">
        <f t="shared" si="72"/>
        <v>1</v>
      </c>
      <c r="J190" s="13">
        <f t="shared" si="73"/>
        <v>0</v>
      </c>
      <c r="K190" s="13" t="b">
        <f t="shared" si="60"/>
        <v>0</v>
      </c>
      <c r="L190" s="59" t="str">
        <f t="shared" si="61"/>
        <v/>
      </c>
      <c r="M190" s="10"/>
      <c r="N190" s="8"/>
      <c r="O190" s="9" t="str">
        <f>IF(ISBLANK($N190),"",VLOOKUP($N190,List!$B$1:$F$2000,2,0))</f>
        <v/>
      </c>
      <c r="P190" s="10" t="str">
        <f>IF(ISBLANK($N190),"",VLOOKUP($N190,List!$B$1:$F$2000,3,0))</f>
        <v/>
      </c>
      <c r="Q190" s="10" t="str">
        <f>IF(ISBLANK($N190),"",VLOOKUP($N190,List!$B$1:$F$2000,4,0))</f>
        <v/>
      </c>
      <c r="R190" s="11" t="str">
        <f>IF(ISBLANK($N190),"",VLOOKUP($N190,List!$B$1:$F$2000,5,0))</f>
        <v/>
      </c>
      <c r="S190" s="61" t="str">
        <f t="shared" si="62"/>
        <v/>
      </c>
      <c r="T190" s="16" t="str">
        <f t="shared" si="63"/>
        <v/>
      </c>
      <c r="V190" t="s">
        <v>26</v>
      </c>
    </row>
    <row r="191" spans="1:22" x14ac:dyDescent="0.2">
      <c r="A191" s="13">
        <f t="shared" si="64"/>
        <v>9</v>
      </c>
      <c r="B191" s="13">
        <f t="shared" si="65"/>
        <v>9</v>
      </c>
      <c r="C191" s="13">
        <f t="shared" si="66"/>
        <v>6</v>
      </c>
      <c r="D191" s="13">
        <f t="shared" si="67"/>
        <v>13</v>
      </c>
      <c r="E191" s="13">
        <f t="shared" si="68"/>
        <v>7</v>
      </c>
      <c r="F191" s="13">
        <f t="shared" si="69"/>
        <v>6</v>
      </c>
      <c r="G191" s="13">
        <f t="shared" si="70"/>
        <v>0</v>
      </c>
      <c r="H191" s="13">
        <f t="shared" si="71"/>
        <v>0</v>
      </c>
      <c r="I191" s="13">
        <f t="shared" si="72"/>
        <v>1</v>
      </c>
      <c r="J191" s="13">
        <f t="shared" si="73"/>
        <v>0</v>
      </c>
      <c r="K191" s="13" t="b">
        <f t="shared" si="60"/>
        <v>0</v>
      </c>
      <c r="L191" s="59" t="str">
        <f t="shared" si="61"/>
        <v/>
      </c>
      <c r="M191" s="10"/>
      <c r="N191" s="8"/>
      <c r="O191" s="9" t="str">
        <f>IF(ISBLANK($N191),"",VLOOKUP($N191,List!$B$1:$F$2000,2,0))</f>
        <v/>
      </c>
      <c r="P191" s="10" t="str">
        <f>IF(ISBLANK($N191),"",VLOOKUP($N191,List!$B$1:$F$2000,3,0))</f>
        <v/>
      </c>
      <c r="Q191" s="10" t="str">
        <f>IF(ISBLANK($N191),"",VLOOKUP($N191,List!$B$1:$F$2000,4,0))</f>
        <v/>
      </c>
      <c r="R191" s="11" t="str">
        <f>IF(ISBLANK($N191),"",VLOOKUP($N191,List!$B$1:$F$2000,5,0))</f>
        <v/>
      </c>
      <c r="S191" s="61" t="str">
        <f t="shared" si="62"/>
        <v/>
      </c>
      <c r="T191" s="16" t="str">
        <f t="shared" si="63"/>
        <v/>
      </c>
      <c r="V191" t="s">
        <v>26</v>
      </c>
    </row>
    <row r="192" spans="1:22" x14ac:dyDescent="0.2">
      <c r="A192" s="13">
        <f t="shared" si="64"/>
        <v>9</v>
      </c>
      <c r="B192" s="13">
        <f t="shared" si="65"/>
        <v>9</v>
      </c>
      <c r="C192" s="13">
        <f t="shared" si="66"/>
        <v>6</v>
      </c>
      <c r="D192" s="13">
        <f t="shared" si="67"/>
        <v>13</v>
      </c>
      <c r="E192" s="13">
        <f t="shared" si="68"/>
        <v>7</v>
      </c>
      <c r="F192" s="13">
        <f t="shared" si="69"/>
        <v>6</v>
      </c>
      <c r="G192" s="13">
        <f t="shared" si="70"/>
        <v>0</v>
      </c>
      <c r="H192" s="13">
        <f t="shared" si="71"/>
        <v>0</v>
      </c>
      <c r="I192" s="13">
        <f t="shared" si="72"/>
        <v>1</v>
      </c>
      <c r="J192" s="13">
        <f t="shared" si="73"/>
        <v>0</v>
      </c>
      <c r="K192" s="13" t="b">
        <f t="shared" si="60"/>
        <v>0</v>
      </c>
      <c r="L192" s="59" t="str">
        <f t="shared" si="61"/>
        <v/>
      </c>
      <c r="M192" s="10"/>
      <c r="N192" s="8"/>
      <c r="O192" s="9" t="str">
        <f>IF(ISBLANK($N192),"",VLOOKUP($N192,List!$B$1:$F$2000,2,0))</f>
        <v/>
      </c>
      <c r="P192" s="10" t="str">
        <f>IF(ISBLANK($N192),"",VLOOKUP($N192,List!$B$1:$F$2000,3,0))</f>
        <v/>
      </c>
      <c r="Q192" s="10" t="str">
        <f>IF(ISBLANK($N192),"",VLOOKUP($N192,List!$B$1:$F$2000,4,0))</f>
        <v/>
      </c>
      <c r="R192" s="11" t="str">
        <f>IF(ISBLANK($N192),"",VLOOKUP($N192,List!$B$1:$F$2000,5,0))</f>
        <v/>
      </c>
      <c r="S192" s="61" t="str">
        <f t="shared" si="62"/>
        <v/>
      </c>
      <c r="T192" s="16" t="str">
        <f t="shared" si="63"/>
        <v/>
      </c>
      <c r="V192" t="s">
        <v>26</v>
      </c>
    </row>
    <row r="193" spans="1:22" x14ac:dyDescent="0.2">
      <c r="A193" s="13">
        <f t="shared" si="64"/>
        <v>9</v>
      </c>
      <c r="B193" s="13">
        <f t="shared" si="65"/>
        <v>9</v>
      </c>
      <c r="C193" s="13">
        <f t="shared" si="66"/>
        <v>6</v>
      </c>
      <c r="D193" s="13">
        <f t="shared" si="67"/>
        <v>13</v>
      </c>
      <c r="E193" s="13">
        <f t="shared" si="68"/>
        <v>7</v>
      </c>
      <c r="F193" s="13">
        <f t="shared" si="69"/>
        <v>6</v>
      </c>
      <c r="G193" s="13">
        <f t="shared" si="70"/>
        <v>0</v>
      </c>
      <c r="H193" s="13">
        <f t="shared" si="71"/>
        <v>0</v>
      </c>
      <c r="I193" s="13">
        <f t="shared" si="72"/>
        <v>1</v>
      </c>
      <c r="J193" s="13">
        <f t="shared" si="73"/>
        <v>0</v>
      </c>
      <c r="K193" s="13" t="b">
        <f t="shared" si="60"/>
        <v>0</v>
      </c>
      <c r="L193" s="59" t="str">
        <f t="shared" si="61"/>
        <v/>
      </c>
      <c r="M193" s="10"/>
      <c r="N193" s="8"/>
      <c r="O193" s="9" t="str">
        <f>IF(ISBLANK($N193),"",VLOOKUP($N193,List!$B$1:$F$2000,2,0))</f>
        <v/>
      </c>
      <c r="P193" s="10" t="str">
        <f>IF(ISBLANK($N193),"",VLOOKUP($N193,List!$B$1:$F$2000,3,0))</f>
        <v/>
      </c>
      <c r="Q193" s="10" t="str">
        <f>IF(ISBLANK($N193),"",VLOOKUP($N193,List!$B$1:$F$2000,4,0))</f>
        <v/>
      </c>
      <c r="R193" s="11" t="str">
        <f>IF(ISBLANK($N193),"",VLOOKUP($N193,List!$B$1:$F$2000,5,0))</f>
        <v/>
      </c>
      <c r="S193" s="61" t="str">
        <f t="shared" si="62"/>
        <v/>
      </c>
      <c r="T193" s="16" t="str">
        <f t="shared" si="63"/>
        <v/>
      </c>
      <c r="V193" t="s">
        <v>26</v>
      </c>
    </row>
    <row r="194" spans="1:22" x14ac:dyDescent="0.2">
      <c r="A194" s="13">
        <f t="shared" si="64"/>
        <v>9</v>
      </c>
      <c r="B194" s="13">
        <f t="shared" si="65"/>
        <v>9</v>
      </c>
      <c r="C194" s="13">
        <f t="shared" si="66"/>
        <v>6</v>
      </c>
      <c r="D194" s="13">
        <f t="shared" si="67"/>
        <v>13</v>
      </c>
      <c r="E194" s="13">
        <f t="shared" si="68"/>
        <v>7</v>
      </c>
      <c r="F194" s="13">
        <f t="shared" si="69"/>
        <v>6</v>
      </c>
      <c r="G194" s="13">
        <f t="shared" si="70"/>
        <v>0</v>
      </c>
      <c r="H194" s="13">
        <f t="shared" si="71"/>
        <v>0</v>
      </c>
      <c r="I194" s="13">
        <f t="shared" si="72"/>
        <v>1</v>
      </c>
      <c r="J194" s="13">
        <f t="shared" si="73"/>
        <v>0</v>
      </c>
      <c r="K194" s="13" t="b">
        <f t="shared" si="60"/>
        <v>0</v>
      </c>
      <c r="L194" s="59" t="str">
        <f t="shared" si="61"/>
        <v/>
      </c>
      <c r="M194" s="10"/>
      <c r="N194" s="8"/>
      <c r="O194" s="9" t="str">
        <f>IF(ISBLANK($N194),"",VLOOKUP($N194,List!$B$1:$F$2000,2,0))</f>
        <v/>
      </c>
      <c r="P194" s="10" t="str">
        <f>IF(ISBLANK($N194),"",VLOOKUP($N194,List!$B$1:$F$2000,3,0))</f>
        <v/>
      </c>
      <c r="Q194" s="10" t="str">
        <f>IF(ISBLANK($N194),"",VLOOKUP($N194,List!$B$1:$F$2000,4,0))</f>
        <v/>
      </c>
      <c r="R194" s="11" t="str">
        <f>IF(ISBLANK($N194),"",VLOOKUP($N194,List!$B$1:$F$2000,5,0))</f>
        <v/>
      </c>
      <c r="S194" s="61" t="str">
        <f t="shared" si="62"/>
        <v/>
      </c>
      <c r="T194" s="16" t="str">
        <f t="shared" si="63"/>
        <v/>
      </c>
      <c r="V194" t="s">
        <v>26</v>
      </c>
    </row>
    <row r="195" spans="1:22" x14ac:dyDescent="0.2">
      <c r="A195" s="13">
        <f t="shared" ref="A195:A202" si="74">IF(AND($K195,$S195&lt;$C$1,$S195&gt;=$A$1,$R195="Мужской"),A194+1,A194)</f>
        <v>9</v>
      </c>
      <c r="B195" s="13">
        <f t="shared" ref="B195:B202" si="75">IF(AND($K195,$S195&lt;$D$1,$S195&gt;=$B$1,$R195="Женский"),B194+1,B194)</f>
        <v>9</v>
      </c>
      <c r="C195" s="13">
        <f t="shared" ref="C195:C202" si="76">IF(AND($K195,$S195&lt;$E$1,$S195&gt;=$C$1,$R195="Мужской"),C194+1,C194)</f>
        <v>6</v>
      </c>
      <c r="D195" s="13">
        <f t="shared" ref="D195:D202" si="77">IF(AND($K195,$S195&lt;$F$1,$S195&gt;=$D$1,$R195="Женский"),D194+1,D194)</f>
        <v>13</v>
      </c>
      <c r="E195" s="13">
        <f t="shared" ref="E195:E202" si="78">IF(AND($K195,$S195&lt;$G$1,$S195&gt;=$E$1,$R195="Мужской"),E194+1,E194)</f>
        <v>7</v>
      </c>
      <c r="F195" s="13">
        <f t="shared" ref="F195:F202" si="79">IF(AND($K195,$S195&lt;$H$1,$S195&gt;=$F$1,$R195="Женский"),F194+1,F194)</f>
        <v>6</v>
      </c>
      <c r="G195" s="13">
        <f t="shared" ref="G195:G202" si="80">IF(AND($K195,$S195&lt;$I$1,$S195&gt;=$G$1,$R195="Мужской"),G194+1,G194)</f>
        <v>0</v>
      </c>
      <c r="H195" s="13">
        <f t="shared" ref="H195:H202" si="81">IF(AND($K195,$S195&lt;$J$1,$S195&gt;=$H$1,$R195="Женский"),H194+1,H194)</f>
        <v>0</v>
      </c>
      <c r="I195" s="13">
        <f t="shared" ref="I195:I202" si="82">IF(AND($K195,$S195&lt;$K$1,$S195&gt;=$I$1,$R195="Мужской"),I194+1,I194)</f>
        <v>1</v>
      </c>
      <c r="J195" s="13">
        <f t="shared" ref="J195:J202" si="83">IF(AND($K195,$S195&lt;$K233,$S195&gt;=$J$1,$R195="Женский"),J194+1,J194)</f>
        <v>0</v>
      </c>
      <c r="K195" s="13" t="b">
        <f t="shared" si="60"/>
        <v>0</v>
      </c>
      <c r="L195" s="59" t="str">
        <f t="shared" si="61"/>
        <v/>
      </c>
      <c r="M195" s="10"/>
      <c r="N195" s="8"/>
      <c r="O195" s="9" t="str">
        <f>IF(ISBLANK($N195),"",VLOOKUP($N195,List!$B$1:$F$2000,2,0))</f>
        <v/>
      </c>
      <c r="P195" s="10" t="str">
        <f>IF(ISBLANK($N195),"",VLOOKUP($N195,List!$B$1:$F$2000,3,0))</f>
        <v/>
      </c>
      <c r="Q195" s="10" t="str">
        <f>IF(ISBLANK($N195),"",VLOOKUP($N195,List!$B$1:$F$2000,4,0))</f>
        <v/>
      </c>
      <c r="R195" s="11" t="str">
        <f>IF(ISBLANK($N195),"",VLOOKUP($N195,List!$B$1:$F$2000,5,0))</f>
        <v/>
      </c>
      <c r="S195" s="61" t="str">
        <f t="shared" si="62"/>
        <v/>
      </c>
      <c r="T195" s="16" t="str">
        <f t="shared" si="63"/>
        <v/>
      </c>
      <c r="V195" t="s">
        <v>26</v>
      </c>
    </row>
    <row r="196" spans="1:22" x14ac:dyDescent="0.2">
      <c r="A196" s="13">
        <f t="shared" si="74"/>
        <v>9</v>
      </c>
      <c r="B196" s="13">
        <f t="shared" si="75"/>
        <v>9</v>
      </c>
      <c r="C196" s="13">
        <f t="shared" si="76"/>
        <v>6</v>
      </c>
      <c r="D196" s="13">
        <f t="shared" si="77"/>
        <v>13</v>
      </c>
      <c r="E196" s="13">
        <f t="shared" si="78"/>
        <v>7</v>
      </c>
      <c r="F196" s="13">
        <f t="shared" si="79"/>
        <v>6</v>
      </c>
      <c r="G196" s="13">
        <f t="shared" si="80"/>
        <v>0</v>
      </c>
      <c r="H196" s="13">
        <f t="shared" si="81"/>
        <v>0</v>
      </c>
      <c r="I196" s="13">
        <f t="shared" si="82"/>
        <v>1</v>
      </c>
      <c r="J196" s="13">
        <f t="shared" si="83"/>
        <v>0</v>
      </c>
      <c r="K196" s="13" t="b">
        <f t="shared" ref="K196:K202" si="84">NOT(ISBLANK($M196))</f>
        <v>0</v>
      </c>
      <c r="L196" s="59" t="str">
        <f t="shared" ref="L196:L202" si="85">IF(ISBLANK($N196),"",ROW()-2)</f>
        <v/>
      </c>
      <c r="M196" s="10"/>
      <c r="N196" s="8"/>
      <c r="O196" s="9" t="str">
        <f>IF(ISBLANK($N196),"",VLOOKUP($N196,List!$B$1:$F$2000,2,0))</f>
        <v/>
      </c>
      <c r="P196" s="10" t="str">
        <f>IF(ISBLANK($N196),"",VLOOKUP($N196,List!$B$1:$F$2000,3,0))</f>
        <v/>
      </c>
      <c r="Q196" s="10" t="str">
        <f>IF(ISBLANK($N196),"",VLOOKUP($N196,List!$B$1:$F$2000,4,0))</f>
        <v/>
      </c>
      <c r="R196" s="11" t="str">
        <f>IF(ISBLANK($N196),"",VLOOKUP($N196,List!$B$1:$F$2000,5,0))</f>
        <v/>
      </c>
      <c r="S196" s="61" t="str">
        <f t="shared" ref="S196:S202" si="86">IF($O196="","",($T$1-$T196))</f>
        <v/>
      </c>
      <c r="T196" s="16" t="str">
        <f t="shared" ref="T196:T202" si="87">IF($O196="","",YEAR($O196))</f>
        <v/>
      </c>
      <c r="V196" t="s">
        <v>26</v>
      </c>
    </row>
    <row r="197" spans="1:22" x14ac:dyDescent="0.2">
      <c r="A197" s="13">
        <f t="shared" si="74"/>
        <v>9</v>
      </c>
      <c r="B197" s="13">
        <f t="shared" si="75"/>
        <v>9</v>
      </c>
      <c r="C197" s="13">
        <f t="shared" si="76"/>
        <v>6</v>
      </c>
      <c r="D197" s="13">
        <f t="shared" si="77"/>
        <v>13</v>
      </c>
      <c r="E197" s="13">
        <f t="shared" si="78"/>
        <v>7</v>
      </c>
      <c r="F197" s="13">
        <f t="shared" si="79"/>
        <v>6</v>
      </c>
      <c r="G197" s="13">
        <f t="shared" si="80"/>
        <v>0</v>
      </c>
      <c r="H197" s="13">
        <f t="shared" si="81"/>
        <v>0</v>
      </c>
      <c r="I197" s="13">
        <f t="shared" si="82"/>
        <v>1</v>
      </c>
      <c r="J197" s="13">
        <f t="shared" si="83"/>
        <v>0</v>
      </c>
      <c r="K197" s="13" t="b">
        <f t="shared" si="84"/>
        <v>0</v>
      </c>
      <c r="L197" s="59" t="str">
        <f t="shared" si="85"/>
        <v/>
      </c>
      <c r="M197" s="10"/>
      <c r="N197" s="8"/>
      <c r="O197" s="9" t="str">
        <f>IF(ISBLANK($N197),"",VLOOKUP($N197,List!$B$1:$F$2000,2,0))</f>
        <v/>
      </c>
      <c r="P197" s="10" t="str">
        <f>IF(ISBLANK($N197),"",VLOOKUP($N197,List!$B$1:$F$2000,3,0))</f>
        <v/>
      </c>
      <c r="Q197" s="10" t="str">
        <f>IF(ISBLANK($N197),"",VLOOKUP($N197,List!$B$1:$F$2000,4,0))</f>
        <v/>
      </c>
      <c r="R197" s="11" t="str">
        <f>IF(ISBLANK($N197),"",VLOOKUP($N197,List!$B$1:$F$2000,5,0))</f>
        <v/>
      </c>
      <c r="S197" s="61" t="str">
        <f t="shared" si="86"/>
        <v/>
      </c>
      <c r="T197" s="16" t="str">
        <f t="shared" si="87"/>
        <v/>
      </c>
      <c r="V197" t="s">
        <v>26</v>
      </c>
    </row>
    <row r="198" spans="1:22" x14ac:dyDescent="0.2">
      <c r="A198" s="13">
        <f t="shared" si="74"/>
        <v>9</v>
      </c>
      <c r="B198" s="13">
        <f t="shared" si="75"/>
        <v>9</v>
      </c>
      <c r="C198" s="13">
        <f t="shared" si="76"/>
        <v>6</v>
      </c>
      <c r="D198" s="13">
        <f t="shared" si="77"/>
        <v>13</v>
      </c>
      <c r="E198" s="13">
        <f t="shared" si="78"/>
        <v>7</v>
      </c>
      <c r="F198" s="13">
        <f t="shared" si="79"/>
        <v>6</v>
      </c>
      <c r="G198" s="13">
        <f t="shared" si="80"/>
        <v>0</v>
      </c>
      <c r="H198" s="13">
        <f t="shared" si="81"/>
        <v>0</v>
      </c>
      <c r="I198" s="13">
        <f t="shared" si="82"/>
        <v>1</v>
      </c>
      <c r="J198" s="13">
        <f t="shared" si="83"/>
        <v>0</v>
      </c>
      <c r="K198" s="13" t="b">
        <f t="shared" si="84"/>
        <v>0</v>
      </c>
      <c r="L198" s="59" t="str">
        <f t="shared" si="85"/>
        <v/>
      </c>
      <c r="M198" s="10"/>
      <c r="N198" s="8"/>
      <c r="O198" s="9" t="str">
        <f>IF(ISBLANK($N198),"",VLOOKUP($N198,List!$B$1:$F$2000,2,0))</f>
        <v/>
      </c>
      <c r="P198" s="10" t="str">
        <f>IF(ISBLANK($N198),"",VLOOKUP($N198,List!$B$1:$F$2000,3,0))</f>
        <v/>
      </c>
      <c r="Q198" s="10" t="str">
        <f>IF(ISBLANK($N198),"",VLOOKUP($N198,List!$B$1:$F$2000,4,0))</f>
        <v/>
      </c>
      <c r="R198" s="11" t="str">
        <f>IF(ISBLANK($N198),"",VLOOKUP($N198,List!$B$1:$F$2000,5,0))</f>
        <v/>
      </c>
      <c r="S198" s="61" t="str">
        <f t="shared" si="86"/>
        <v/>
      </c>
      <c r="T198" s="16" t="str">
        <f t="shared" si="87"/>
        <v/>
      </c>
      <c r="V198" t="s">
        <v>26</v>
      </c>
    </row>
    <row r="199" spans="1:22" x14ac:dyDescent="0.2">
      <c r="A199" s="13">
        <f t="shared" si="74"/>
        <v>9</v>
      </c>
      <c r="B199" s="13">
        <f t="shared" si="75"/>
        <v>9</v>
      </c>
      <c r="C199" s="13">
        <f t="shared" si="76"/>
        <v>6</v>
      </c>
      <c r="D199" s="13">
        <f t="shared" si="77"/>
        <v>13</v>
      </c>
      <c r="E199" s="13">
        <f t="shared" si="78"/>
        <v>7</v>
      </c>
      <c r="F199" s="13">
        <f t="shared" si="79"/>
        <v>6</v>
      </c>
      <c r="G199" s="13">
        <f t="shared" si="80"/>
        <v>0</v>
      </c>
      <c r="H199" s="13">
        <f t="shared" si="81"/>
        <v>0</v>
      </c>
      <c r="I199" s="13">
        <f t="shared" si="82"/>
        <v>1</v>
      </c>
      <c r="J199" s="13">
        <f t="shared" si="83"/>
        <v>0</v>
      </c>
      <c r="K199" s="13" t="b">
        <f t="shared" si="84"/>
        <v>0</v>
      </c>
      <c r="L199" s="59" t="str">
        <f t="shared" si="85"/>
        <v/>
      </c>
      <c r="M199" s="10"/>
      <c r="N199" s="8"/>
      <c r="O199" s="9" t="str">
        <f>IF(ISBLANK($N199),"",VLOOKUP($N199,List!$B$1:$F$2000,2,0))</f>
        <v/>
      </c>
      <c r="P199" s="10" t="str">
        <f>IF(ISBLANK($N199),"",VLOOKUP($N199,List!$B$1:$F$2000,3,0))</f>
        <v/>
      </c>
      <c r="Q199" s="10" t="str">
        <f>IF(ISBLANK($N199),"",VLOOKUP($N199,List!$B$1:$F$2000,4,0))</f>
        <v/>
      </c>
      <c r="R199" s="11" t="str">
        <f>IF(ISBLANK($N199),"",VLOOKUP($N199,List!$B$1:$F$2000,5,0))</f>
        <v/>
      </c>
      <c r="S199" s="61" t="str">
        <f t="shared" si="86"/>
        <v/>
      </c>
      <c r="T199" s="16" t="str">
        <f t="shared" si="87"/>
        <v/>
      </c>
      <c r="V199" t="s">
        <v>26</v>
      </c>
    </row>
    <row r="200" spans="1:22" x14ac:dyDescent="0.2">
      <c r="A200" s="13">
        <f t="shared" si="74"/>
        <v>9</v>
      </c>
      <c r="B200" s="13">
        <f t="shared" si="75"/>
        <v>9</v>
      </c>
      <c r="C200" s="13">
        <f t="shared" si="76"/>
        <v>6</v>
      </c>
      <c r="D200" s="13">
        <f t="shared" si="77"/>
        <v>13</v>
      </c>
      <c r="E200" s="13">
        <f t="shared" si="78"/>
        <v>7</v>
      </c>
      <c r="F200" s="13">
        <f t="shared" si="79"/>
        <v>6</v>
      </c>
      <c r="G200" s="13">
        <f t="shared" si="80"/>
        <v>0</v>
      </c>
      <c r="H200" s="13">
        <f t="shared" si="81"/>
        <v>0</v>
      </c>
      <c r="I200" s="13">
        <f t="shared" si="82"/>
        <v>1</v>
      </c>
      <c r="J200" s="13">
        <f t="shared" si="83"/>
        <v>0</v>
      </c>
      <c r="K200" s="13" t="b">
        <f t="shared" si="84"/>
        <v>0</v>
      </c>
      <c r="L200" s="59" t="str">
        <f t="shared" si="85"/>
        <v/>
      </c>
      <c r="M200" s="10"/>
      <c r="N200" s="8"/>
      <c r="O200" s="9" t="str">
        <f>IF(ISBLANK($N200),"",VLOOKUP($N200,List!$B$1:$F$2000,2,0))</f>
        <v/>
      </c>
      <c r="P200" s="10" t="str">
        <f>IF(ISBLANK($N200),"",VLOOKUP($N200,List!$B$1:$F$2000,3,0))</f>
        <v/>
      </c>
      <c r="Q200" s="10" t="str">
        <f>IF(ISBLANK($N200),"",VLOOKUP($N200,List!$B$1:$F$2000,4,0))</f>
        <v/>
      </c>
      <c r="R200" s="11" t="str">
        <f>IF(ISBLANK($N200),"",VLOOKUP($N200,List!$B$1:$F$2000,5,0))</f>
        <v/>
      </c>
      <c r="S200" s="61" t="str">
        <f t="shared" si="86"/>
        <v/>
      </c>
      <c r="T200" s="16" t="str">
        <f t="shared" si="87"/>
        <v/>
      </c>
      <c r="V200" t="s">
        <v>26</v>
      </c>
    </row>
    <row r="201" spans="1:22" x14ac:dyDescent="0.2">
      <c r="A201" s="13">
        <f t="shared" si="74"/>
        <v>9</v>
      </c>
      <c r="B201" s="13">
        <f t="shared" si="75"/>
        <v>9</v>
      </c>
      <c r="C201" s="13">
        <f t="shared" si="76"/>
        <v>6</v>
      </c>
      <c r="D201" s="13">
        <f t="shared" si="77"/>
        <v>13</v>
      </c>
      <c r="E201" s="13">
        <f t="shared" si="78"/>
        <v>7</v>
      </c>
      <c r="F201" s="13">
        <f t="shared" si="79"/>
        <v>6</v>
      </c>
      <c r="G201" s="13">
        <f t="shared" si="80"/>
        <v>0</v>
      </c>
      <c r="H201" s="13">
        <f t="shared" si="81"/>
        <v>0</v>
      </c>
      <c r="I201" s="13">
        <f t="shared" si="82"/>
        <v>1</v>
      </c>
      <c r="J201" s="13">
        <f t="shared" si="83"/>
        <v>0</v>
      </c>
      <c r="K201" s="13" t="b">
        <f t="shared" si="84"/>
        <v>0</v>
      </c>
      <c r="L201" s="59" t="str">
        <f t="shared" si="85"/>
        <v/>
      </c>
      <c r="M201" s="10"/>
      <c r="N201" s="8"/>
      <c r="O201" s="9" t="str">
        <f>IF(ISBLANK($N201),"",VLOOKUP($N201,List!$B$1:$F$2000,2,0))</f>
        <v/>
      </c>
      <c r="P201" s="10" t="str">
        <f>IF(ISBLANK($N201),"",VLOOKUP($N201,List!$B$1:$F$2000,3,0))</f>
        <v/>
      </c>
      <c r="Q201" s="10" t="str">
        <f>IF(ISBLANK($N201),"",VLOOKUP($N201,List!$B$1:$F$2000,4,0))</f>
        <v/>
      </c>
      <c r="R201" s="11" t="str">
        <f>IF(ISBLANK($N201),"",VLOOKUP($N201,List!$B$1:$F$2000,5,0))</f>
        <v/>
      </c>
      <c r="S201" s="61" t="str">
        <f t="shared" si="86"/>
        <v/>
      </c>
      <c r="T201" s="16" t="str">
        <f t="shared" si="87"/>
        <v/>
      </c>
      <c r="V201" t="s">
        <v>26</v>
      </c>
    </row>
    <row r="202" spans="1:22" ht="13.5" thickBot="1" x14ac:dyDescent="0.25">
      <c r="A202" s="13">
        <f t="shared" si="74"/>
        <v>9</v>
      </c>
      <c r="B202" s="13">
        <f t="shared" si="75"/>
        <v>9</v>
      </c>
      <c r="C202" s="13">
        <f t="shared" si="76"/>
        <v>6</v>
      </c>
      <c r="D202" s="13">
        <f t="shared" si="77"/>
        <v>13</v>
      </c>
      <c r="E202" s="13">
        <f t="shared" si="78"/>
        <v>7</v>
      </c>
      <c r="F202" s="13">
        <f t="shared" si="79"/>
        <v>6</v>
      </c>
      <c r="G202" s="13">
        <f t="shared" si="80"/>
        <v>0</v>
      </c>
      <c r="H202" s="13">
        <f t="shared" si="81"/>
        <v>0</v>
      </c>
      <c r="I202" s="13">
        <f t="shared" si="82"/>
        <v>1</v>
      </c>
      <c r="J202" s="13">
        <f t="shared" si="83"/>
        <v>0</v>
      </c>
      <c r="K202" s="13" t="b">
        <f t="shared" si="84"/>
        <v>0</v>
      </c>
      <c r="L202" s="68" t="str">
        <f t="shared" si="85"/>
        <v/>
      </c>
      <c r="M202" s="69"/>
      <c r="N202" s="70"/>
      <c r="O202" s="71" t="str">
        <f>IF(ISBLANK($N202),"",VLOOKUP($N202,List!$B$1:$F$2000,2,0))</f>
        <v/>
      </c>
      <c r="P202" s="69" t="str">
        <f>IF(ISBLANK($N202),"",VLOOKUP($N202,List!$B$1:$F$2000,3,0))</f>
        <v/>
      </c>
      <c r="Q202" s="69" t="str">
        <f>IF(ISBLANK($N202),"",VLOOKUP($N202,List!$B$1:$F$2000,4,0))</f>
        <v/>
      </c>
      <c r="R202" s="67" t="str">
        <f>IF(ISBLANK($N202),"",VLOOKUP($N202,List!$B$1:$F$2000,5,0))</f>
        <v/>
      </c>
      <c r="S202" s="72" t="str">
        <f t="shared" si="86"/>
        <v/>
      </c>
      <c r="T202" s="16" t="str">
        <f t="shared" si="87"/>
        <v/>
      </c>
      <c r="V202" t="s">
        <v>26</v>
      </c>
    </row>
  </sheetData>
  <sortState ref="M3:N64">
    <sortCondition ref="N3:N64"/>
  </sortState>
  <mergeCells count="2">
    <mergeCell ref="L1:M1"/>
    <mergeCell ref="N1:R1"/>
  </mergeCells>
  <conditionalFormatting sqref="U3:U202">
    <cfRule type="duplicateValues" dxfId="6" priority="6"/>
  </conditionalFormatting>
  <conditionalFormatting sqref="U152">
    <cfRule type="duplicateValues" dxfId="5" priority="4"/>
  </conditionalFormatting>
  <conditionalFormatting sqref="S152">
    <cfRule type="cellIs" dxfId="4" priority="3" operator="lessThan">
      <formula>4</formula>
    </cfRule>
  </conditionalFormatting>
  <conditionalFormatting sqref="S153:S202">
    <cfRule type="cellIs" dxfId="3" priority="2" operator="lessThan">
      <formula>4</formula>
    </cfRule>
  </conditionalFormatting>
  <conditionalFormatting sqref="S3:S202">
    <cfRule type="cellIs" dxfId="2" priority="1" operator="greaterThan">
      <formula>$K$1</formula>
    </cfRule>
    <cfRule type="cellIs" dxfId="1" priority="5" operator="lessThan">
      <formula>$A$1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34"/>
  <sheetViews>
    <sheetView topLeftCell="A500" workbookViewId="0">
      <selection activeCell="B500" sqref="B1:F1048576"/>
    </sheetView>
  </sheetViews>
  <sheetFormatPr defaultRowHeight="12.75" x14ac:dyDescent="0.2"/>
  <cols>
    <col min="2" max="2" width="24.85546875" hidden="1" customWidth="1"/>
    <col min="3" max="3" width="12.42578125" style="39" hidden="1" customWidth="1"/>
    <col min="4" max="4" width="14.5703125" hidden="1" customWidth="1"/>
    <col min="5" max="5" width="24.28515625" hidden="1" customWidth="1"/>
    <col min="6" max="6" width="0" hidden="1" customWidth="1"/>
  </cols>
  <sheetData>
    <row r="1" spans="2:6" x14ac:dyDescent="0.2">
      <c r="B1" t="s">
        <v>585</v>
      </c>
      <c r="D1" t="s">
        <v>585</v>
      </c>
      <c r="E1" t="s">
        <v>585</v>
      </c>
    </row>
    <row r="2" spans="2:6" x14ac:dyDescent="0.2">
      <c r="B2" t="s">
        <v>81</v>
      </c>
      <c r="C2" s="39">
        <v>38310</v>
      </c>
      <c r="D2" t="s">
        <v>59</v>
      </c>
      <c r="E2" t="s">
        <v>60</v>
      </c>
      <c r="F2" t="s">
        <v>11</v>
      </c>
    </row>
    <row r="3" spans="2:6" x14ac:dyDescent="0.2">
      <c r="B3" t="s">
        <v>571</v>
      </c>
      <c r="C3" s="39">
        <v>39252</v>
      </c>
      <c r="D3" t="s">
        <v>59</v>
      </c>
      <c r="E3" t="s">
        <v>68</v>
      </c>
      <c r="F3" t="s">
        <v>11</v>
      </c>
    </row>
    <row r="4" spans="2:6" x14ac:dyDescent="0.2">
      <c r="B4" t="s">
        <v>58</v>
      </c>
      <c r="C4" s="39">
        <v>38713</v>
      </c>
      <c r="D4" t="s">
        <v>44</v>
      </c>
      <c r="E4" t="s">
        <v>26</v>
      </c>
      <c r="F4" t="s">
        <v>11</v>
      </c>
    </row>
    <row r="5" spans="2:6" x14ac:dyDescent="0.2">
      <c r="B5" t="s">
        <v>405</v>
      </c>
      <c r="C5" s="39">
        <v>38395</v>
      </c>
      <c r="D5" t="s">
        <v>59</v>
      </c>
      <c r="E5" t="s">
        <v>406</v>
      </c>
      <c r="F5" t="s">
        <v>12</v>
      </c>
    </row>
    <row r="6" spans="2:6" x14ac:dyDescent="0.2">
      <c r="B6" t="s">
        <v>407</v>
      </c>
      <c r="C6" s="39">
        <v>39487</v>
      </c>
      <c r="D6" t="s">
        <v>59</v>
      </c>
      <c r="E6" t="s">
        <v>406</v>
      </c>
      <c r="F6" t="s">
        <v>11</v>
      </c>
    </row>
    <row r="7" spans="2:6" x14ac:dyDescent="0.2">
      <c r="B7" t="s">
        <v>82</v>
      </c>
      <c r="C7" s="39">
        <v>39486</v>
      </c>
      <c r="D7" t="s">
        <v>59</v>
      </c>
      <c r="E7" t="s">
        <v>415</v>
      </c>
      <c r="F7" t="s">
        <v>11</v>
      </c>
    </row>
    <row r="8" spans="2:6" x14ac:dyDescent="0.2">
      <c r="B8" t="s">
        <v>240</v>
      </c>
      <c r="C8" s="39">
        <v>38256</v>
      </c>
      <c r="D8" t="s">
        <v>24</v>
      </c>
      <c r="E8" t="s">
        <v>26</v>
      </c>
      <c r="F8" t="s">
        <v>11</v>
      </c>
    </row>
    <row r="9" spans="2:6" x14ac:dyDescent="0.2">
      <c r="B9" t="s">
        <v>239</v>
      </c>
      <c r="C9" s="39">
        <v>39817</v>
      </c>
      <c r="D9" t="s">
        <v>24</v>
      </c>
      <c r="E9" t="s">
        <v>26</v>
      </c>
      <c r="F9" t="s">
        <v>11</v>
      </c>
    </row>
    <row r="10" spans="2:6" x14ac:dyDescent="0.2">
      <c r="B10" t="s">
        <v>54</v>
      </c>
      <c r="C10" s="39">
        <v>38576</v>
      </c>
      <c r="D10" t="s">
        <v>44</v>
      </c>
      <c r="E10" t="s">
        <v>47</v>
      </c>
      <c r="F10" t="s">
        <v>11</v>
      </c>
    </row>
    <row r="11" spans="2:6" x14ac:dyDescent="0.2">
      <c r="B11" t="s">
        <v>409</v>
      </c>
      <c r="C11" s="39">
        <v>39145</v>
      </c>
      <c r="D11" t="s">
        <v>59</v>
      </c>
      <c r="E11" t="s">
        <v>68</v>
      </c>
      <c r="F11" t="s">
        <v>11</v>
      </c>
    </row>
    <row r="12" spans="2:6" x14ac:dyDescent="0.2">
      <c r="B12" t="s">
        <v>83</v>
      </c>
      <c r="C12" s="39">
        <v>38650</v>
      </c>
      <c r="D12" t="s">
        <v>61</v>
      </c>
      <c r="E12" t="s">
        <v>62</v>
      </c>
      <c r="F12" t="s">
        <v>12</v>
      </c>
    </row>
    <row r="13" spans="2:6" x14ac:dyDescent="0.2">
      <c r="B13" t="s">
        <v>56</v>
      </c>
      <c r="C13" s="39">
        <v>38582</v>
      </c>
      <c r="D13" t="s">
        <v>44</v>
      </c>
      <c r="E13" t="s">
        <v>26</v>
      </c>
      <c r="F13" t="s">
        <v>12</v>
      </c>
    </row>
    <row r="14" spans="2:6" x14ac:dyDescent="0.2">
      <c r="B14" t="s">
        <v>84</v>
      </c>
      <c r="C14" s="39">
        <v>39277</v>
      </c>
      <c r="D14" t="s">
        <v>59</v>
      </c>
      <c r="E14" t="s">
        <v>63</v>
      </c>
      <c r="F14" t="s">
        <v>11</v>
      </c>
    </row>
    <row r="15" spans="2:6" x14ac:dyDescent="0.2">
      <c r="B15" t="s">
        <v>410</v>
      </c>
      <c r="C15" s="39">
        <v>36513</v>
      </c>
      <c r="D15" t="s">
        <v>24</v>
      </c>
      <c r="E15" t="s">
        <v>26</v>
      </c>
      <c r="F15" t="s">
        <v>12</v>
      </c>
    </row>
    <row r="16" spans="2:6" x14ac:dyDescent="0.2">
      <c r="B16" t="s">
        <v>86</v>
      </c>
      <c r="C16" s="39">
        <v>38106</v>
      </c>
      <c r="D16" t="s">
        <v>59</v>
      </c>
      <c r="E16" t="s">
        <v>26</v>
      </c>
      <c r="F16" t="s">
        <v>11</v>
      </c>
    </row>
    <row r="17" spans="2:6" x14ac:dyDescent="0.2">
      <c r="B17" t="s">
        <v>85</v>
      </c>
      <c r="C17" s="39">
        <v>39710</v>
      </c>
      <c r="D17" t="s">
        <v>59</v>
      </c>
      <c r="E17" t="s">
        <v>64</v>
      </c>
      <c r="F17" t="s">
        <v>11</v>
      </c>
    </row>
    <row r="18" spans="2:6" x14ac:dyDescent="0.2">
      <c r="B18" t="s">
        <v>241</v>
      </c>
      <c r="C18" s="39">
        <v>39083</v>
      </c>
      <c r="D18" t="s">
        <v>24</v>
      </c>
      <c r="E18" t="s">
        <v>26</v>
      </c>
      <c r="F18" t="s">
        <v>11</v>
      </c>
    </row>
    <row r="19" spans="2:6" x14ac:dyDescent="0.2">
      <c r="B19" t="s">
        <v>530</v>
      </c>
      <c r="C19" s="39">
        <v>38984</v>
      </c>
      <c r="D19" t="s">
        <v>59</v>
      </c>
      <c r="E19" t="s">
        <v>26</v>
      </c>
      <c r="F19" t="s">
        <v>11</v>
      </c>
    </row>
    <row r="20" spans="2:6" x14ac:dyDescent="0.2">
      <c r="B20" t="s">
        <v>411</v>
      </c>
      <c r="C20" s="39">
        <v>37004</v>
      </c>
      <c r="D20" t="s">
        <v>24</v>
      </c>
      <c r="E20" t="s">
        <v>26</v>
      </c>
      <c r="F20" t="s">
        <v>12</v>
      </c>
    </row>
    <row r="21" spans="2:6" x14ac:dyDescent="0.2">
      <c r="B21" t="s">
        <v>412</v>
      </c>
      <c r="C21" s="39">
        <v>39230</v>
      </c>
      <c r="D21" t="s">
        <v>59</v>
      </c>
      <c r="E21" t="s">
        <v>389</v>
      </c>
      <c r="F21" t="s">
        <v>12</v>
      </c>
    </row>
    <row r="22" spans="2:6" x14ac:dyDescent="0.2">
      <c r="B22" t="s">
        <v>413</v>
      </c>
      <c r="C22" s="39">
        <v>39924</v>
      </c>
      <c r="D22" t="s">
        <v>59</v>
      </c>
      <c r="E22" t="s">
        <v>389</v>
      </c>
      <c r="F22" t="s">
        <v>12</v>
      </c>
    </row>
    <row r="23" spans="2:6" x14ac:dyDescent="0.2">
      <c r="B23" t="s">
        <v>87</v>
      </c>
      <c r="C23" s="39">
        <v>37931</v>
      </c>
      <c r="D23" t="s">
        <v>59</v>
      </c>
      <c r="E23" t="s">
        <v>26</v>
      </c>
      <c r="F23" t="s">
        <v>11</v>
      </c>
    </row>
    <row r="24" spans="2:6" x14ac:dyDescent="0.2">
      <c r="B24" t="s">
        <v>88</v>
      </c>
      <c r="C24" s="39">
        <v>36928</v>
      </c>
      <c r="D24" t="s">
        <v>59</v>
      </c>
      <c r="E24" t="s">
        <v>67</v>
      </c>
      <c r="F24" t="s">
        <v>11</v>
      </c>
    </row>
    <row r="25" spans="2:6" x14ac:dyDescent="0.2">
      <c r="B25" t="s">
        <v>401</v>
      </c>
      <c r="C25" s="39">
        <v>39491</v>
      </c>
      <c r="D25" t="s">
        <v>59</v>
      </c>
      <c r="E25" t="s">
        <v>26</v>
      </c>
      <c r="F25" t="s">
        <v>11</v>
      </c>
    </row>
    <row r="26" spans="2:6" x14ac:dyDescent="0.2">
      <c r="B26" t="s">
        <v>89</v>
      </c>
      <c r="C26" s="39">
        <v>38406</v>
      </c>
      <c r="D26" t="s">
        <v>59</v>
      </c>
      <c r="E26" t="s">
        <v>19</v>
      </c>
      <c r="F26" t="s">
        <v>11</v>
      </c>
    </row>
    <row r="27" spans="2:6" x14ac:dyDescent="0.2">
      <c r="B27" t="s">
        <v>90</v>
      </c>
      <c r="C27" s="39">
        <v>38554</v>
      </c>
      <c r="D27" t="s">
        <v>59</v>
      </c>
      <c r="E27" t="s">
        <v>26</v>
      </c>
      <c r="F27" t="s">
        <v>12</v>
      </c>
    </row>
    <row r="28" spans="2:6" x14ac:dyDescent="0.2">
      <c r="B28" t="s">
        <v>414</v>
      </c>
      <c r="C28" s="39">
        <v>38851</v>
      </c>
      <c r="D28" t="s">
        <v>59</v>
      </c>
      <c r="E28" t="s">
        <v>26</v>
      </c>
      <c r="F28" t="s">
        <v>11</v>
      </c>
    </row>
    <row r="29" spans="2:6" x14ac:dyDescent="0.2">
      <c r="B29" t="s">
        <v>273</v>
      </c>
      <c r="C29" s="39">
        <v>36259</v>
      </c>
      <c r="D29" t="s">
        <v>66</v>
      </c>
      <c r="E29" t="s">
        <v>71</v>
      </c>
      <c r="F29" t="s">
        <v>12</v>
      </c>
    </row>
    <row r="30" spans="2:6" x14ac:dyDescent="0.2">
      <c r="B30" t="s">
        <v>274</v>
      </c>
      <c r="C30" s="39">
        <v>39107</v>
      </c>
      <c r="D30" t="s">
        <v>59</v>
      </c>
      <c r="E30" t="s">
        <v>26</v>
      </c>
      <c r="F30" t="s">
        <v>11</v>
      </c>
    </row>
    <row r="31" spans="2:6" x14ac:dyDescent="0.2">
      <c r="B31" t="s">
        <v>275</v>
      </c>
      <c r="C31" s="39">
        <v>39390</v>
      </c>
      <c r="D31" t="s">
        <v>59</v>
      </c>
      <c r="E31" t="s">
        <v>67</v>
      </c>
      <c r="F31" t="s">
        <v>11</v>
      </c>
    </row>
    <row r="32" spans="2:6" x14ac:dyDescent="0.2">
      <c r="B32" t="s">
        <v>91</v>
      </c>
      <c r="C32" s="39">
        <v>39390</v>
      </c>
      <c r="D32" t="s">
        <v>59</v>
      </c>
      <c r="E32" t="s">
        <v>67</v>
      </c>
      <c r="F32" t="s">
        <v>11</v>
      </c>
    </row>
    <row r="33" spans="2:6" x14ac:dyDescent="0.2">
      <c r="B33" t="s">
        <v>243</v>
      </c>
      <c r="C33" s="39">
        <v>38689</v>
      </c>
      <c r="D33" t="s">
        <v>24</v>
      </c>
      <c r="E33" t="s">
        <v>26</v>
      </c>
      <c r="F33" t="s">
        <v>12</v>
      </c>
    </row>
    <row r="35" spans="2:6" x14ac:dyDescent="0.2">
      <c r="B35" t="s">
        <v>242</v>
      </c>
      <c r="C35" s="39">
        <v>36961</v>
      </c>
      <c r="D35" t="s">
        <v>24</v>
      </c>
      <c r="E35" t="s">
        <v>26</v>
      </c>
      <c r="F35" t="s">
        <v>12</v>
      </c>
    </row>
    <row r="37" spans="2:6" x14ac:dyDescent="0.2">
      <c r="B37" t="s">
        <v>366</v>
      </c>
      <c r="C37" s="39">
        <v>38453</v>
      </c>
      <c r="D37" t="s">
        <v>59</v>
      </c>
      <c r="E37" t="s">
        <v>26</v>
      </c>
      <c r="F37" t="s">
        <v>11</v>
      </c>
    </row>
    <row r="38" spans="2:6" x14ac:dyDescent="0.2">
      <c r="B38" t="s">
        <v>392</v>
      </c>
      <c r="C38" s="39">
        <v>39479</v>
      </c>
      <c r="D38" t="s">
        <v>59</v>
      </c>
      <c r="E38" t="s">
        <v>389</v>
      </c>
      <c r="F38" t="s">
        <v>12</v>
      </c>
    </row>
    <row r="40" spans="2:6" x14ac:dyDescent="0.2">
      <c r="B40" t="s">
        <v>30</v>
      </c>
      <c r="C40" s="39">
        <v>38496</v>
      </c>
      <c r="D40" t="s">
        <v>24</v>
      </c>
      <c r="E40" t="s">
        <v>572</v>
      </c>
      <c r="F40" t="s">
        <v>12</v>
      </c>
    </row>
    <row r="42" spans="2:6" x14ac:dyDescent="0.2">
      <c r="B42" t="s">
        <v>92</v>
      </c>
      <c r="C42" s="39">
        <v>36423</v>
      </c>
      <c r="D42" t="s">
        <v>61</v>
      </c>
      <c r="E42" t="s">
        <v>62</v>
      </c>
      <c r="F42" t="s">
        <v>12</v>
      </c>
    </row>
    <row r="44" spans="2:6" x14ac:dyDescent="0.2">
      <c r="B44" t="s">
        <v>93</v>
      </c>
      <c r="C44" s="39">
        <v>38429</v>
      </c>
      <c r="D44" t="s">
        <v>59</v>
      </c>
      <c r="E44" t="s">
        <v>415</v>
      </c>
      <c r="F44" t="s">
        <v>11</v>
      </c>
    </row>
    <row r="45" spans="2:6" x14ac:dyDescent="0.2">
      <c r="B45" t="s">
        <v>416</v>
      </c>
      <c r="C45" s="39">
        <v>38570</v>
      </c>
      <c r="D45" t="s">
        <v>59</v>
      </c>
      <c r="E45" t="s">
        <v>19</v>
      </c>
      <c r="F45" t="s">
        <v>11</v>
      </c>
    </row>
    <row r="46" spans="2:6" x14ac:dyDescent="0.2">
      <c r="B46" t="s">
        <v>583</v>
      </c>
      <c r="C46" s="39">
        <v>39169</v>
      </c>
      <c r="D46" t="s">
        <v>24</v>
      </c>
      <c r="E46" t="s">
        <v>26</v>
      </c>
      <c r="F46" t="s">
        <v>11</v>
      </c>
    </row>
    <row r="47" spans="2:6" x14ac:dyDescent="0.2">
      <c r="B47" t="s">
        <v>582</v>
      </c>
      <c r="C47" s="39">
        <v>39678</v>
      </c>
      <c r="D47" t="s">
        <v>24</v>
      </c>
      <c r="E47" t="s">
        <v>26</v>
      </c>
      <c r="F47" t="s">
        <v>11</v>
      </c>
    </row>
    <row r="48" spans="2:6" x14ac:dyDescent="0.2">
      <c r="B48" t="s">
        <v>94</v>
      </c>
      <c r="C48" s="39">
        <v>39583</v>
      </c>
      <c r="D48" t="s">
        <v>59</v>
      </c>
      <c r="E48" t="s">
        <v>65</v>
      </c>
      <c r="F48" t="s">
        <v>12</v>
      </c>
    </row>
    <row r="49" spans="2:6" x14ac:dyDescent="0.2">
      <c r="B49" t="s">
        <v>95</v>
      </c>
      <c r="C49" s="39">
        <v>37278</v>
      </c>
      <c r="D49" t="s">
        <v>59</v>
      </c>
      <c r="E49" t="s">
        <v>406</v>
      </c>
      <c r="F49" t="s">
        <v>12</v>
      </c>
    </row>
    <row r="50" spans="2:6" x14ac:dyDescent="0.2">
      <c r="B50" t="s">
        <v>367</v>
      </c>
      <c r="C50" s="39">
        <v>36669</v>
      </c>
      <c r="D50" t="s">
        <v>59</v>
      </c>
      <c r="E50" t="s">
        <v>26</v>
      </c>
      <c r="F50" t="s">
        <v>12</v>
      </c>
    </row>
    <row r="51" spans="2:6" x14ac:dyDescent="0.2">
      <c r="B51" t="s">
        <v>246</v>
      </c>
      <c r="C51" s="39">
        <v>38534</v>
      </c>
      <c r="D51" t="s">
        <v>24</v>
      </c>
      <c r="E51" t="s">
        <v>23</v>
      </c>
      <c r="F51" t="s">
        <v>11</v>
      </c>
    </row>
    <row r="52" spans="2:6" x14ac:dyDescent="0.2">
      <c r="B52" t="s">
        <v>96</v>
      </c>
      <c r="C52" s="39">
        <v>39348</v>
      </c>
      <c r="D52" t="s">
        <v>59</v>
      </c>
      <c r="E52" t="s">
        <v>26</v>
      </c>
      <c r="F52" t="s">
        <v>11</v>
      </c>
    </row>
    <row r="53" spans="2:6" x14ac:dyDescent="0.2">
      <c r="B53" t="s">
        <v>418</v>
      </c>
      <c r="C53" s="39">
        <v>36948</v>
      </c>
      <c r="D53" t="s">
        <v>59</v>
      </c>
      <c r="E53" t="s">
        <v>65</v>
      </c>
      <c r="F53" t="s">
        <v>11</v>
      </c>
    </row>
    <row r="54" spans="2:6" x14ac:dyDescent="0.2">
      <c r="B54" t="s">
        <v>519</v>
      </c>
      <c r="C54" s="39">
        <v>38831</v>
      </c>
      <c r="D54" t="s">
        <v>59</v>
      </c>
      <c r="E54" t="s">
        <v>406</v>
      </c>
      <c r="F54" t="s">
        <v>11</v>
      </c>
    </row>
    <row r="55" spans="2:6" x14ac:dyDescent="0.2">
      <c r="B55" t="s">
        <v>41</v>
      </c>
      <c r="C55" s="39">
        <v>37772</v>
      </c>
      <c r="D55" t="s">
        <v>36</v>
      </c>
      <c r="E55" t="s">
        <v>22</v>
      </c>
      <c r="F55" t="s">
        <v>12</v>
      </c>
    </row>
    <row r="56" spans="2:6" x14ac:dyDescent="0.2">
      <c r="B56" t="s">
        <v>276</v>
      </c>
      <c r="C56" s="39">
        <v>38764</v>
      </c>
      <c r="D56" t="s">
        <v>76</v>
      </c>
      <c r="E56" t="s">
        <v>77</v>
      </c>
      <c r="F56" t="s">
        <v>12</v>
      </c>
    </row>
    <row r="57" spans="2:6" x14ac:dyDescent="0.2">
      <c r="B57" t="s">
        <v>272</v>
      </c>
      <c r="C57" s="39">
        <v>36906</v>
      </c>
      <c r="D57" t="s">
        <v>36</v>
      </c>
      <c r="E57" t="s">
        <v>22</v>
      </c>
      <c r="F57" t="s">
        <v>11</v>
      </c>
    </row>
    <row r="58" spans="2:6" x14ac:dyDescent="0.2">
      <c r="B58" t="s">
        <v>419</v>
      </c>
      <c r="C58" s="39">
        <v>38615</v>
      </c>
      <c r="D58" t="s">
        <v>24</v>
      </c>
      <c r="E58" t="s">
        <v>26</v>
      </c>
      <c r="F58" t="s">
        <v>11</v>
      </c>
    </row>
    <row r="59" spans="2:6" x14ac:dyDescent="0.2">
      <c r="B59" t="s">
        <v>98</v>
      </c>
      <c r="C59" s="39">
        <v>37169</v>
      </c>
      <c r="D59" t="s">
        <v>61</v>
      </c>
      <c r="E59" t="s">
        <v>420</v>
      </c>
      <c r="F59" t="s">
        <v>12</v>
      </c>
    </row>
    <row r="60" spans="2:6" x14ac:dyDescent="0.2">
      <c r="B60" t="s">
        <v>97</v>
      </c>
      <c r="C60" s="39">
        <v>38645</v>
      </c>
      <c r="D60" t="s">
        <v>61</v>
      </c>
      <c r="E60" t="s">
        <v>420</v>
      </c>
      <c r="F60" t="s">
        <v>12</v>
      </c>
    </row>
    <row r="61" spans="2:6" x14ac:dyDescent="0.2">
      <c r="B61" t="s">
        <v>99</v>
      </c>
      <c r="C61" s="39">
        <v>38856</v>
      </c>
      <c r="D61" t="s">
        <v>59</v>
      </c>
      <c r="E61" t="s">
        <v>68</v>
      </c>
      <c r="F61" t="s">
        <v>11</v>
      </c>
    </row>
    <row r="62" spans="2:6" x14ac:dyDescent="0.2">
      <c r="B62" t="s">
        <v>402</v>
      </c>
      <c r="C62" s="39">
        <v>39340</v>
      </c>
      <c r="D62" t="s">
        <v>74</v>
      </c>
      <c r="E62" t="s">
        <v>65</v>
      </c>
      <c r="F62" t="s">
        <v>11</v>
      </c>
    </row>
    <row r="63" spans="2:6" x14ac:dyDescent="0.2">
      <c r="B63" t="s">
        <v>45</v>
      </c>
      <c r="C63" s="39">
        <v>38861</v>
      </c>
      <c r="D63" t="s">
        <v>44</v>
      </c>
      <c r="E63" t="s">
        <v>26</v>
      </c>
      <c r="F63" t="s">
        <v>12</v>
      </c>
    </row>
    <row r="64" spans="2:6" x14ac:dyDescent="0.2">
      <c r="B64" t="s">
        <v>563</v>
      </c>
      <c r="C64" s="39">
        <v>37462</v>
      </c>
      <c r="D64" t="s">
        <v>59</v>
      </c>
      <c r="E64" t="s">
        <v>415</v>
      </c>
      <c r="F64" t="s">
        <v>11</v>
      </c>
    </row>
    <row r="65" spans="2:6" x14ac:dyDescent="0.2">
      <c r="B65" t="s">
        <v>277</v>
      </c>
      <c r="C65" s="39">
        <v>38539</v>
      </c>
      <c r="D65" t="s">
        <v>66</v>
      </c>
      <c r="E65" t="s">
        <v>71</v>
      </c>
      <c r="F65" t="s">
        <v>12</v>
      </c>
    </row>
    <row r="66" spans="2:6" x14ac:dyDescent="0.2">
      <c r="B66" t="s">
        <v>247</v>
      </c>
      <c r="C66" s="39">
        <v>38718</v>
      </c>
      <c r="D66" t="s">
        <v>24</v>
      </c>
      <c r="E66" t="s">
        <v>26</v>
      </c>
      <c r="F66" t="s">
        <v>11</v>
      </c>
    </row>
    <row r="67" spans="2:6" x14ac:dyDescent="0.2">
      <c r="B67" t="s">
        <v>278</v>
      </c>
      <c r="C67" s="39">
        <v>38788</v>
      </c>
      <c r="D67" t="s">
        <v>59</v>
      </c>
      <c r="E67" t="s">
        <v>67</v>
      </c>
      <c r="F67" t="s">
        <v>11</v>
      </c>
    </row>
    <row r="68" spans="2:6" x14ac:dyDescent="0.2">
      <c r="B68" t="s">
        <v>100</v>
      </c>
      <c r="C68" s="39">
        <v>38876</v>
      </c>
      <c r="D68" t="s">
        <v>59</v>
      </c>
      <c r="E68" t="s">
        <v>65</v>
      </c>
      <c r="F68" t="s">
        <v>12</v>
      </c>
    </row>
    <row r="69" spans="2:6" x14ac:dyDescent="0.2">
      <c r="B69" t="s">
        <v>101</v>
      </c>
      <c r="C69" s="39">
        <v>38907</v>
      </c>
      <c r="D69" t="s">
        <v>59</v>
      </c>
      <c r="E69" t="s">
        <v>65</v>
      </c>
      <c r="F69" t="s">
        <v>12</v>
      </c>
    </row>
    <row r="70" spans="2:6" x14ac:dyDescent="0.2">
      <c r="B70" t="s">
        <v>102</v>
      </c>
      <c r="C70" s="39">
        <v>37504</v>
      </c>
      <c r="D70" t="s">
        <v>61</v>
      </c>
      <c r="E70" t="s">
        <v>420</v>
      </c>
      <c r="F70" t="s">
        <v>11</v>
      </c>
    </row>
    <row r="71" spans="2:6" x14ac:dyDescent="0.2">
      <c r="B71" t="s">
        <v>103</v>
      </c>
      <c r="C71" s="39">
        <v>39731</v>
      </c>
      <c r="D71" t="s">
        <v>59</v>
      </c>
      <c r="E71" t="s">
        <v>67</v>
      </c>
      <c r="F71" t="s">
        <v>11</v>
      </c>
    </row>
    <row r="72" spans="2:6" x14ac:dyDescent="0.2">
      <c r="B72" t="s">
        <v>280</v>
      </c>
      <c r="C72" s="39">
        <v>36930</v>
      </c>
      <c r="D72" t="s">
        <v>61</v>
      </c>
      <c r="E72" t="s">
        <v>420</v>
      </c>
      <c r="F72" t="s">
        <v>12</v>
      </c>
    </row>
    <row r="73" spans="2:6" x14ac:dyDescent="0.2">
      <c r="B73" t="s">
        <v>279</v>
      </c>
      <c r="C73" s="39">
        <v>38323</v>
      </c>
      <c r="D73" t="s">
        <v>61</v>
      </c>
      <c r="E73" t="s">
        <v>420</v>
      </c>
      <c r="F73" t="s">
        <v>12</v>
      </c>
    </row>
    <row r="74" spans="2:6" x14ac:dyDescent="0.2">
      <c r="B74" t="s">
        <v>560</v>
      </c>
      <c r="C74" s="39">
        <v>39302</v>
      </c>
      <c r="D74" t="s">
        <v>59</v>
      </c>
      <c r="E74" t="s">
        <v>19</v>
      </c>
      <c r="F74" t="s">
        <v>12</v>
      </c>
    </row>
    <row r="75" spans="2:6" x14ac:dyDescent="0.2">
      <c r="B75" t="s">
        <v>281</v>
      </c>
      <c r="C75" s="39">
        <v>38388</v>
      </c>
      <c r="D75" t="s">
        <v>59</v>
      </c>
      <c r="E75" t="s">
        <v>67</v>
      </c>
      <c r="F75" t="s">
        <v>12</v>
      </c>
    </row>
    <row r="76" spans="2:6" x14ac:dyDescent="0.2">
      <c r="B76" t="s">
        <v>282</v>
      </c>
      <c r="C76" s="39">
        <v>37856</v>
      </c>
      <c r="D76" t="s">
        <v>59</v>
      </c>
      <c r="E76" t="s">
        <v>67</v>
      </c>
      <c r="F76" t="s">
        <v>11</v>
      </c>
    </row>
    <row r="77" spans="2:6" x14ac:dyDescent="0.2">
      <c r="B77" t="s">
        <v>104</v>
      </c>
      <c r="C77" s="39">
        <v>38266</v>
      </c>
      <c r="D77" t="s">
        <v>59</v>
      </c>
      <c r="E77" t="s">
        <v>421</v>
      </c>
      <c r="F77" t="s">
        <v>12</v>
      </c>
    </row>
    <row r="78" spans="2:6" x14ac:dyDescent="0.2">
      <c r="B78" t="s">
        <v>105</v>
      </c>
      <c r="C78" s="39">
        <v>38944</v>
      </c>
      <c r="D78" t="s">
        <v>59</v>
      </c>
      <c r="E78" t="s">
        <v>421</v>
      </c>
      <c r="F78" t="s">
        <v>11</v>
      </c>
    </row>
    <row r="79" spans="2:6" x14ac:dyDescent="0.2">
      <c r="B79" t="s">
        <v>283</v>
      </c>
      <c r="C79" s="39">
        <v>37630</v>
      </c>
      <c r="D79" t="s">
        <v>59</v>
      </c>
      <c r="E79" t="s">
        <v>67</v>
      </c>
      <c r="F79" t="s">
        <v>11</v>
      </c>
    </row>
    <row r="80" spans="2:6" x14ac:dyDescent="0.2">
      <c r="B80" t="s">
        <v>284</v>
      </c>
      <c r="C80" s="39">
        <v>39370</v>
      </c>
      <c r="D80" t="s">
        <v>59</v>
      </c>
      <c r="E80" t="s">
        <v>67</v>
      </c>
      <c r="F80" t="s">
        <v>12</v>
      </c>
    </row>
    <row r="81" spans="2:6" x14ac:dyDescent="0.2">
      <c r="B81" t="s">
        <v>106</v>
      </c>
      <c r="C81" s="39">
        <v>37775</v>
      </c>
      <c r="D81" t="s">
        <v>59</v>
      </c>
      <c r="E81" t="s">
        <v>406</v>
      </c>
      <c r="F81" t="s">
        <v>11</v>
      </c>
    </row>
    <row r="82" spans="2:6" x14ac:dyDescent="0.2">
      <c r="B82" t="s">
        <v>107</v>
      </c>
      <c r="C82" s="39">
        <v>38585</v>
      </c>
      <c r="D82" t="s">
        <v>59</v>
      </c>
      <c r="E82" t="s">
        <v>406</v>
      </c>
      <c r="F82" t="s">
        <v>12</v>
      </c>
    </row>
    <row r="83" spans="2:6" x14ac:dyDescent="0.2">
      <c r="B83" t="s">
        <v>108</v>
      </c>
      <c r="C83" s="39">
        <v>38489</v>
      </c>
      <c r="D83" t="s">
        <v>59</v>
      </c>
      <c r="E83" t="s">
        <v>19</v>
      </c>
      <c r="F83" t="s">
        <v>12</v>
      </c>
    </row>
    <row r="84" spans="2:6" x14ac:dyDescent="0.2">
      <c r="B84" t="s">
        <v>109</v>
      </c>
      <c r="C84" s="39">
        <v>39672</v>
      </c>
      <c r="D84" t="s">
        <v>59</v>
      </c>
      <c r="E84" t="s">
        <v>19</v>
      </c>
      <c r="F84" t="s">
        <v>12</v>
      </c>
    </row>
    <row r="85" spans="2:6" x14ac:dyDescent="0.2">
      <c r="B85" t="s">
        <v>422</v>
      </c>
      <c r="C85" s="39">
        <v>38866</v>
      </c>
      <c r="D85" t="s">
        <v>59</v>
      </c>
      <c r="E85" t="s">
        <v>67</v>
      </c>
      <c r="F85" t="s">
        <v>12</v>
      </c>
    </row>
    <row r="86" spans="2:6" x14ac:dyDescent="0.2">
      <c r="B86" t="s">
        <v>285</v>
      </c>
      <c r="C86" s="39">
        <v>39130</v>
      </c>
      <c r="D86" t="s">
        <v>59</v>
      </c>
      <c r="E86" t="s">
        <v>26</v>
      </c>
      <c r="F86" t="s">
        <v>12</v>
      </c>
    </row>
    <row r="87" spans="2:6" x14ac:dyDescent="0.2">
      <c r="B87" t="s">
        <v>237</v>
      </c>
      <c r="C87" s="39">
        <v>38593</v>
      </c>
      <c r="D87" t="s">
        <v>59</v>
      </c>
      <c r="E87" t="s">
        <v>75</v>
      </c>
      <c r="F87" t="s">
        <v>12</v>
      </c>
    </row>
    <row r="88" spans="2:6" x14ac:dyDescent="0.2">
      <c r="B88" t="s">
        <v>110</v>
      </c>
      <c r="C88" s="39">
        <v>39262</v>
      </c>
      <c r="D88" t="s">
        <v>59</v>
      </c>
      <c r="E88" t="s">
        <v>68</v>
      </c>
      <c r="F88" t="s">
        <v>11</v>
      </c>
    </row>
    <row r="89" spans="2:6" x14ac:dyDescent="0.2">
      <c r="B89" t="s">
        <v>590</v>
      </c>
      <c r="C89" s="39">
        <v>37426</v>
      </c>
      <c r="D89" t="s">
        <v>538</v>
      </c>
      <c r="E89" t="s">
        <v>573</v>
      </c>
      <c r="F89" t="s">
        <v>11</v>
      </c>
    </row>
    <row r="90" spans="2:6" x14ac:dyDescent="0.2">
      <c r="B90" t="s">
        <v>423</v>
      </c>
      <c r="C90" s="39">
        <v>39122</v>
      </c>
      <c r="D90" t="s">
        <v>24</v>
      </c>
      <c r="E90" t="s">
        <v>26</v>
      </c>
      <c r="F90" t="s">
        <v>12</v>
      </c>
    </row>
    <row r="92" spans="2:6" x14ac:dyDescent="0.2">
      <c r="B92" t="s">
        <v>584</v>
      </c>
      <c r="C92" s="39">
        <v>39227</v>
      </c>
      <c r="D92" t="s">
        <v>24</v>
      </c>
      <c r="E92" t="s">
        <v>572</v>
      </c>
      <c r="F92" t="s">
        <v>11</v>
      </c>
    </row>
    <row r="93" spans="2:6" x14ac:dyDescent="0.2">
      <c r="B93" t="s">
        <v>286</v>
      </c>
      <c r="C93" s="39">
        <v>39203</v>
      </c>
      <c r="D93" t="s">
        <v>59</v>
      </c>
      <c r="E93" t="s">
        <v>424</v>
      </c>
      <c r="F93" t="s">
        <v>11</v>
      </c>
    </row>
    <row r="94" spans="2:6" x14ac:dyDescent="0.2">
      <c r="B94" t="s">
        <v>425</v>
      </c>
      <c r="C94" s="39">
        <v>39089</v>
      </c>
      <c r="D94" t="s">
        <v>24</v>
      </c>
      <c r="E94" t="s">
        <v>23</v>
      </c>
      <c r="F94" t="s">
        <v>11</v>
      </c>
    </row>
    <row r="95" spans="2:6" x14ac:dyDescent="0.2">
      <c r="B95" t="s">
        <v>112</v>
      </c>
      <c r="C95" s="39">
        <v>37821</v>
      </c>
      <c r="D95" t="s">
        <v>59</v>
      </c>
      <c r="E95" t="s">
        <v>406</v>
      </c>
      <c r="F95" t="s">
        <v>12</v>
      </c>
    </row>
    <row r="96" spans="2:6" x14ac:dyDescent="0.2">
      <c r="B96" t="s">
        <v>111</v>
      </c>
      <c r="C96" s="39">
        <v>39716</v>
      </c>
      <c r="D96" t="s">
        <v>59</v>
      </c>
      <c r="E96" t="s">
        <v>26</v>
      </c>
      <c r="F96" t="s">
        <v>12</v>
      </c>
    </row>
    <row r="97" spans="2:6" x14ac:dyDescent="0.2">
      <c r="B97" t="s">
        <v>33</v>
      </c>
      <c r="C97" s="39">
        <v>37759</v>
      </c>
      <c r="D97" t="s">
        <v>426</v>
      </c>
      <c r="E97" t="s">
        <v>35</v>
      </c>
      <c r="F97" t="s">
        <v>11</v>
      </c>
    </row>
    <row r="98" spans="2:6" x14ac:dyDescent="0.2">
      <c r="B98" t="s">
        <v>271</v>
      </c>
      <c r="C98" s="39">
        <v>38653</v>
      </c>
      <c r="D98" t="s">
        <v>24</v>
      </c>
      <c r="E98" t="s">
        <v>23</v>
      </c>
      <c r="F98" t="s">
        <v>11</v>
      </c>
    </row>
    <row r="99" spans="2:6" x14ac:dyDescent="0.2">
      <c r="B99" t="s">
        <v>427</v>
      </c>
      <c r="C99" s="39">
        <v>37627</v>
      </c>
      <c r="D99" t="s">
        <v>59</v>
      </c>
      <c r="E99" t="s">
        <v>389</v>
      </c>
      <c r="F99" t="s">
        <v>12</v>
      </c>
    </row>
    <row r="100" spans="2:6" x14ac:dyDescent="0.2">
      <c r="B100" t="s">
        <v>428</v>
      </c>
      <c r="C100" s="39">
        <v>39790</v>
      </c>
      <c r="D100" t="s">
        <v>59</v>
      </c>
      <c r="E100" t="s">
        <v>67</v>
      </c>
      <c r="F100" t="s">
        <v>12</v>
      </c>
    </row>
    <row r="101" spans="2:6" x14ac:dyDescent="0.2">
      <c r="B101" t="s">
        <v>114</v>
      </c>
      <c r="C101" s="39">
        <v>38092</v>
      </c>
      <c r="D101" t="s">
        <v>59</v>
      </c>
      <c r="E101" t="s">
        <v>421</v>
      </c>
      <c r="F101" t="s">
        <v>12</v>
      </c>
    </row>
    <row r="102" spans="2:6" x14ac:dyDescent="0.2">
      <c r="B102" t="s">
        <v>113</v>
      </c>
      <c r="C102" s="39">
        <v>38971</v>
      </c>
      <c r="D102" t="s">
        <v>59</v>
      </c>
      <c r="E102" t="s">
        <v>421</v>
      </c>
      <c r="F102" t="s">
        <v>12</v>
      </c>
    </row>
    <row r="103" spans="2:6" x14ac:dyDescent="0.2">
      <c r="B103" t="s">
        <v>287</v>
      </c>
      <c r="C103" s="39">
        <v>36929</v>
      </c>
      <c r="D103" t="s">
        <v>66</v>
      </c>
      <c r="E103" t="s">
        <v>71</v>
      </c>
      <c r="F103" t="s">
        <v>12</v>
      </c>
    </row>
    <row r="104" spans="2:6" x14ac:dyDescent="0.2">
      <c r="B104" t="s">
        <v>429</v>
      </c>
      <c r="C104" s="39">
        <v>36227</v>
      </c>
      <c r="D104" t="s">
        <v>36</v>
      </c>
      <c r="E104" t="s">
        <v>22</v>
      </c>
      <c r="F104" t="s">
        <v>12</v>
      </c>
    </row>
    <row r="105" spans="2:6" x14ac:dyDescent="0.2">
      <c r="B105" t="s">
        <v>430</v>
      </c>
      <c r="C105" s="39">
        <v>37586</v>
      </c>
      <c r="D105" t="s">
        <v>24</v>
      </c>
      <c r="E105" t="s">
        <v>572</v>
      </c>
      <c r="F105" t="s">
        <v>11</v>
      </c>
    </row>
    <row r="106" spans="2:6" x14ac:dyDescent="0.2">
      <c r="B106" t="s">
        <v>588</v>
      </c>
      <c r="C106" s="39">
        <v>39556</v>
      </c>
      <c r="D106" t="s">
        <v>24</v>
      </c>
      <c r="E106" t="s">
        <v>572</v>
      </c>
      <c r="F106" t="s">
        <v>12</v>
      </c>
    </row>
    <row r="107" spans="2:6" x14ac:dyDescent="0.2">
      <c r="B107" t="s">
        <v>431</v>
      </c>
      <c r="C107" s="39">
        <v>39800</v>
      </c>
      <c r="D107" t="s">
        <v>24</v>
      </c>
      <c r="E107" t="s">
        <v>26</v>
      </c>
      <c r="F107" t="s">
        <v>12</v>
      </c>
    </row>
    <row r="108" spans="2:6" x14ac:dyDescent="0.2">
      <c r="B108" t="s">
        <v>432</v>
      </c>
      <c r="C108" s="39">
        <v>39691</v>
      </c>
      <c r="D108" t="s">
        <v>59</v>
      </c>
      <c r="E108" t="s">
        <v>406</v>
      </c>
      <c r="F108" t="s">
        <v>12</v>
      </c>
    </row>
    <row r="109" spans="2:6" x14ac:dyDescent="0.2">
      <c r="B109" t="s">
        <v>115</v>
      </c>
      <c r="C109" s="39">
        <v>37971</v>
      </c>
      <c r="D109" t="s">
        <v>59</v>
      </c>
      <c r="E109" t="s">
        <v>26</v>
      </c>
      <c r="F109" t="s">
        <v>11</v>
      </c>
    </row>
    <row r="110" spans="2:6" x14ac:dyDescent="0.2">
      <c r="B110" t="s">
        <v>433</v>
      </c>
      <c r="C110" s="39">
        <v>37194</v>
      </c>
      <c r="D110" t="s">
        <v>59</v>
      </c>
      <c r="E110" t="s">
        <v>406</v>
      </c>
      <c r="F110" t="s">
        <v>11</v>
      </c>
    </row>
    <row r="111" spans="2:6" x14ac:dyDescent="0.2">
      <c r="B111" t="s">
        <v>537</v>
      </c>
      <c r="C111" s="39">
        <v>39185</v>
      </c>
      <c r="D111" t="s">
        <v>538</v>
      </c>
      <c r="E111" t="s">
        <v>539</v>
      </c>
      <c r="F111" t="s">
        <v>12</v>
      </c>
    </row>
    <row r="112" spans="2:6" x14ac:dyDescent="0.2">
      <c r="B112" t="s">
        <v>562</v>
      </c>
      <c r="C112" s="39">
        <v>40406</v>
      </c>
      <c r="D112" t="s">
        <v>538</v>
      </c>
      <c r="E112" t="s">
        <v>539</v>
      </c>
      <c r="F112" t="s">
        <v>12</v>
      </c>
    </row>
    <row r="113" spans="2:6" x14ac:dyDescent="0.2">
      <c r="B113" t="s">
        <v>117</v>
      </c>
      <c r="C113" s="39">
        <v>38388</v>
      </c>
      <c r="D113" t="s">
        <v>59</v>
      </c>
      <c r="E113" t="s">
        <v>26</v>
      </c>
      <c r="F113" t="s">
        <v>11</v>
      </c>
    </row>
    <row r="114" spans="2:6" x14ac:dyDescent="0.2">
      <c r="B114" t="s">
        <v>116</v>
      </c>
      <c r="C114" s="39">
        <v>38913</v>
      </c>
      <c r="D114" t="s">
        <v>59</v>
      </c>
      <c r="E114" t="s">
        <v>26</v>
      </c>
      <c r="F114" t="s">
        <v>11</v>
      </c>
    </row>
    <row r="115" spans="2:6" x14ac:dyDescent="0.2">
      <c r="B115" t="s">
        <v>118</v>
      </c>
      <c r="C115" s="39">
        <v>38224</v>
      </c>
      <c r="D115" t="s">
        <v>59</v>
      </c>
      <c r="E115" t="s">
        <v>26</v>
      </c>
      <c r="F115" t="s">
        <v>12</v>
      </c>
    </row>
    <row r="116" spans="2:6" x14ac:dyDescent="0.2">
      <c r="B116" t="s">
        <v>119</v>
      </c>
      <c r="C116" s="39">
        <v>38388</v>
      </c>
      <c r="D116" t="s">
        <v>59</v>
      </c>
      <c r="E116" t="s">
        <v>415</v>
      </c>
      <c r="F116" t="s">
        <v>12</v>
      </c>
    </row>
    <row r="117" spans="2:6" x14ac:dyDescent="0.2">
      <c r="B117" t="s">
        <v>288</v>
      </c>
      <c r="C117" s="39">
        <v>38963</v>
      </c>
      <c r="D117" t="s">
        <v>59</v>
      </c>
      <c r="E117" t="s">
        <v>26</v>
      </c>
      <c r="F117" t="s">
        <v>11</v>
      </c>
    </row>
    <row r="118" spans="2:6" x14ac:dyDescent="0.2">
      <c r="B118" t="s">
        <v>120</v>
      </c>
      <c r="C118" s="39">
        <v>39058</v>
      </c>
      <c r="D118" t="s">
        <v>59</v>
      </c>
      <c r="E118" t="s">
        <v>19</v>
      </c>
      <c r="F118" t="s">
        <v>12</v>
      </c>
    </row>
    <row r="119" spans="2:6" x14ac:dyDescent="0.2">
      <c r="B119" t="s">
        <v>121</v>
      </c>
      <c r="C119" s="39">
        <v>38545</v>
      </c>
      <c r="D119" t="s">
        <v>59</v>
      </c>
      <c r="E119" t="s">
        <v>26</v>
      </c>
      <c r="F119" t="s">
        <v>11</v>
      </c>
    </row>
    <row r="120" spans="2:6" x14ac:dyDescent="0.2">
      <c r="B120" t="s">
        <v>122</v>
      </c>
      <c r="C120" s="39">
        <v>39103</v>
      </c>
      <c r="D120" t="s">
        <v>69</v>
      </c>
      <c r="E120" t="s">
        <v>70</v>
      </c>
      <c r="F120" t="s">
        <v>12</v>
      </c>
    </row>
    <row r="121" spans="2:6" x14ac:dyDescent="0.2">
      <c r="B121" t="s">
        <v>381</v>
      </c>
      <c r="C121" s="39">
        <v>38797</v>
      </c>
      <c r="D121" t="s">
        <v>59</v>
      </c>
      <c r="E121" t="s">
        <v>415</v>
      </c>
      <c r="F121" t="s">
        <v>11</v>
      </c>
    </row>
    <row r="122" spans="2:6" x14ac:dyDescent="0.2">
      <c r="B122" t="s">
        <v>379</v>
      </c>
      <c r="C122" s="39">
        <v>39479</v>
      </c>
      <c r="D122" t="s">
        <v>59</v>
      </c>
      <c r="E122" t="s">
        <v>415</v>
      </c>
      <c r="F122" t="s">
        <v>11</v>
      </c>
    </row>
    <row r="123" spans="2:6" x14ac:dyDescent="0.2">
      <c r="B123" t="s">
        <v>123</v>
      </c>
      <c r="C123" s="39">
        <v>38211</v>
      </c>
      <c r="D123" t="s">
        <v>59</v>
      </c>
      <c r="E123" t="s">
        <v>26</v>
      </c>
      <c r="F123" t="s">
        <v>12</v>
      </c>
    </row>
    <row r="124" spans="2:6" x14ac:dyDescent="0.2">
      <c r="B124" t="s">
        <v>525</v>
      </c>
      <c r="C124" s="39">
        <v>39644</v>
      </c>
      <c r="D124" t="s">
        <v>61</v>
      </c>
      <c r="E124" t="s">
        <v>420</v>
      </c>
      <c r="F124" t="s">
        <v>12</v>
      </c>
    </row>
    <row r="125" spans="2:6" x14ac:dyDescent="0.2">
      <c r="B125" t="s">
        <v>526</v>
      </c>
      <c r="C125" s="39">
        <v>38009</v>
      </c>
      <c r="D125" t="s">
        <v>61</v>
      </c>
      <c r="E125" t="s">
        <v>420</v>
      </c>
      <c r="F125" t="s">
        <v>12</v>
      </c>
    </row>
    <row r="126" spans="2:6" x14ac:dyDescent="0.2">
      <c r="B126" t="s">
        <v>548</v>
      </c>
      <c r="C126" s="39">
        <v>37369</v>
      </c>
      <c r="D126" t="s">
        <v>59</v>
      </c>
      <c r="E126" t="s">
        <v>549</v>
      </c>
      <c r="F126" t="s">
        <v>12</v>
      </c>
    </row>
    <row r="127" spans="2:6" x14ac:dyDescent="0.2">
      <c r="B127" t="s">
        <v>248</v>
      </c>
      <c r="C127" s="39">
        <v>39530</v>
      </c>
      <c r="D127" t="s">
        <v>24</v>
      </c>
      <c r="E127" t="s">
        <v>23</v>
      </c>
      <c r="F127" t="s">
        <v>11</v>
      </c>
    </row>
    <row r="128" spans="2:6" x14ac:dyDescent="0.2">
      <c r="B128" t="s">
        <v>434</v>
      </c>
      <c r="C128" s="39">
        <v>39614</v>
      </c>
      <c r="D128" t="s">
        <v>59</v>
      </c>
      <c r="E128" t="s">
        <v>26</v>
      </c>
      <c r="F128" t="s">
        <v>12</v>
      </c>
    </row>
    <row r="129" spans="2:6" x14ac:dyDescent="0.2">
      <c r="B129" t="s">
        <v>124</v>
      </c>
      <c r="C129" s="39">
        <v>38169</v>
      </c>
      <c r="D129" t="s">
        <v>59</v>
      </c>
      <c r="E129" t="s">
        <v>63</v>
      </c>
      <c r="F129" t="s">
        <v>12</v>
      </c>
    </row>
    <row r="130" spans="2:6" x14ac:dyDescent="0.2">
      <c r="B130" t="s">
        <v>39</v>
      </c>
      <c r="C130" s="39">
        <v>37595</v>
      </c>
      <c r="D130" t="s">
        <v>36</v>
      </c>
      <c r="E130" t="s">
        <v>26</v>
      </c>
      <c r="F130" t="s">
        <v>12</v>
      </c>
    </row>
    <row r="131" spans="2:6" x14ac:dyDescent="0.2">
      <c r="B131" t="s">
        <v>435</v>
      </c>
      <c r="C131" s="39">
        <v>41425</v>
      </c>
      <c r="D131" t="s">
        <v>44</v>
      </c>
      <c r="E131" t="s">
        <v>26</v>
      </c>
      <c r="F131" t="s">
        <v>11</v>
      </c>
    </row>
    <row r="132" spans="2:6" x14ac:dyDescent="0.2">
      <c r="B132" t="s">
        <v>436</v>
      </c>
      <c r="C132" s="39">
        <v>36676</v>
      </c>
      <c r="D132" t="s">
        <v>59</v>
      </c>
      <c r="E132" t="s">
        <v>68</v>
      </c>
      <c r="F132" t="s">
        <v>12</v>
      </c>
    </row>
    <row r="133" spans="2:6" x14ac:dyDescent="0.2">
      <c r="B133" t="s">
        <v>437</v>
      </c>
      <c r="C133" s="39">
        <v>39942</v>
      </c>
      <c r="D133" t="s">
        <v>59</v>
      </c>
      <c r="E133" t="s">
        <v>68</v>
      </c>
      <c r="F133" t="s">
        <v>11</v>
      </c>
    </row>
    <row r="134" spans="2:6" x14ac:dyDescent="0.2">
      <c r="B134" t="s">
        <v>289</v>
      </c>
      <c r="C134" s="39">
        <v>36326</v>
      </c>
      <c r="D134" t="s">
        <v>59</v>
      </c>
      <c r="E134" t="s">
        <v>26</v>
      </c>
      <c r="F134" t="s">
        <v>11</v>
      </c>
    </row>
    <row r="135" spans="2:6" x14ac:dyDescent="0.2">
      <c r="B135" t="s">
        <v>290</v>
      </c>
      <c r="C135" s="39">
        <v>37377</v>
      </c>
      <c r="D135" t="s">
        <v>59</v>
      </c>
      <c r="E135" t="s">
        <v>26</v>
      </c>
      <c r="F135" t="s">
        <v>11</v>
      </c>
    </row>
    <row r="136" spans="2:6" x14ac:dyDescent="0.2">
      <c r="B136" t="s">
        <v>125</v>
      </c>
      <c r="C136" s="39">
        <v>38119</v>
      </c>
      <c r="D136" t="s">
        <v>59</v>
      </c>
      <c r="E136" t="s">
        <v>406</v>
      </c>
      <c r="F136" t="s">
        <v>12</v>
      </c>
    </row>
    <row r="137" spans="2:6" x14ac:dyDescent="0.2">
      <c r="B137" t="s">
        <v>524</v>
      </c>
      <c r="C137" s="39">
        <v>39195</v>
      </c>
      <c r="D137" t="s">
        <v>59</v>
      </c>
      <c r="E137" t="s">
        <v>406</v>
      </c>
      <c r="F137" t="s">
        <v>12</v>
      </c>
    </row>
    <row r="138" spans="2:6" x14ac:dyDescent="0.2">
      <c r="B138" t="s">
        <v>555</v>
      </c>
      <c r="C138" s="39">
        <v>38318</v>
      </c>
      <c r="D138" t="s">
        <v>59</v>
      </c>
      <c r="E138" t="s">
        <v>389</v>
      </c>
      <c r="F138" t="s">
        <v>11</v>
      </c>
    </row>
    <row r="139" spans="2:6" x14ac:dyDescent="0.2">
      <c r="B139" t="s">
        <v>249</v>
      </c>
      <c r="C139" s="39">
        <v>39130</v>
      </c>
      <c r="D139" t="s">
        <v>24</v>
      </c>
      <c r="E139" t="s">
        <v>26</v>
      </c>
      <c r="F139" t="s">
        <v>12</v>
      </c>
    </row>
    <row r="140" spans="2:6" x14ac:dyDescent="0.2">
      <c r="B140" t="s">
        <v>250</v>
      </c>
      <c r="C140" s="39">
        <v>39818</v>
      </c>
      <c r="D140" t="s">
        <v>24</v>
      </c>
      <c r="E140" t="s">
        <v>572</v>
      </c>
      <c r="F140" t="s">
        <v>12</v>
      </c>
    </row>
    <row r="141" spans="2:6" x14ac:dyDescent="0.2">
      <c r="B141" t="s">
        <v>126</v>
      </c>
      <c r="C141" s="39">
        <v>39362</v>
      </c>
      <c r="D141" t="s">
        <v>59</v>
      </c>
      <c r="E141" t="s">
        <v>19</v>
      </c>
      <c r="F141" t="s">
        <v>11</v>
      </c>
    </row>
    <row r="142" spans="2:6" x14ac:dyDescent="0.2">
      <c r="B142" t="s">
        <v>553</v>
      </c>
      <c r="C142" s="39">
        <v>36899</v>
      </c>
      <c r="D142" t="s">
        <v>59</v>
      </c>
      <c r="E142" t="s">
        <v>19</v>
      </c>
      <c r="F142" t="s">
        <v>12</v>
      </c>
    </row>
    <row r="143" spans="2:6" x14ac:dyDescent="0.2">
      <c r="B143" t="s">
        <v>438</v>
      </c>
      <c r="C143" s="39">
        <v>38762</v>
      </c>
      <c r="D143" t="s">
        <v>59</v>
      </c>
      <c r="E143" t="s">
        <v>406</v>
      </c>
      <c r="F143" t="s">
        <v>11</v>
      </c>
    </row>
    <row r="144" spans="2:6" x14ac:dyDescent="0.2">
      <c r="B144" t="s">
        <v>292</v>
      </c>
      <c r="C144" s="39">
        <v>38587</v>
      </c>
      <c r="D144" t="s">
        <v>59</v>
      </c>
      <c r="E144" t="s">
        <v>26</v>
      </c>
      <c r="F144" t="s">
        <v>11</v>
      </c>
    </row>
    <row r="145" spans="2:6" x14ac:dyDescent="0.2">
      <c r="B145" t="s">
        <v>291</v>
      </c>
      <c r="C145" s="39">
        <v>38587</v>
      </c>
      <c r="D145" t="s">
        <v>59</v>
      </c>
      <c r="E145" t="s">
        <v>26</v>
      </c>
      <c r="F145" t="s">
        <v>11</v>
      </c>
    </row>
    <row r="146" spans="2:6" x14ac:dyDescent="0.2">
      <c r="B146" t="s">
        <v>127</v>
      </c>
      <c r="C146" s="39">
        <v>39054</v>
      </c>
      <c r="D146" t="s">
        <v>59</v>
      </c>
      <c r="E146" t="s">
        <v>26</v>
      </c>
      <c r="F146" t="s">
        <v>11</v>
      </c>
    </row>
    <row r="147" spans="2:6" x14ac:dyDescent="0.2">
      <c r="B147" t="s">
        <v>439</v>
      </c>
      <c r="C147" s="39">
        <v>37715</v>
      </c>
      <c r="D147" t="s">
        <v>59</v>
      </c>
      <c r="E147" t="s">
        <v>67</v>
      </c>
      <c r="F147" t="s">
        <v>12</v>
      </c>
    </row>
    <row r="148" spans="2:6" x14ac:dyDescent="0.2">
      <c r="B148" t="s">
        <v>129</v>
      </c>
      <c r="C148" s="39">
        <v>37515</v>
      </c>
      <c r="D148" t="s">
        <v>59</v>
      </c>
      <c r="E148" t="s">
        <v>63</v>
      </c>
      <c r="F148" t="s">
        <v>11</v>
      </c>
    </row>
    <row r="149" spans="2:6" x14ac:dyDescent="0.2">
      <c r="B149" t="s">
        <v>388</v>
      </c>
      <c r="C149" s="39">
        <v>39741</v>
      </c>
      <c r="D149" t="s">
        <v>59</v>
      </c>
      <c r="E149" t="s">
        <v>65</v>
      </c>
      <c r="F149" t="s">
        <v>11</v>
      </c>
    </row>
    <row r="150" spans="2:6" x14ac:dyDescent="0.2">
      <c r="B150" t="s">
        <v>128</v>
      </c>
      <c r="C150" s="39">
        <v>39274</v>
      </c>
      <c r="D150" t="s">
        <v>59</v>
      </c>
      <c r="E150" t="s">
        <v>19</v>
      </c>
      <c r="F150" t="s">
        <v>12</v>
      </c>
    </row>
    <row r="151" spans="2:6" x14ac:dyDescent="0.2">
      <c r="B151" t="s">
        <v>370</v>
      </c>
      <c r="C151" s="39">
        <v>37828</v>
      </c>
      <c r="D151" t="s">
        <v>59</v>
      </c>
      <c r="E151" t="s">
        <v>389</v>
      </c>
      <c r="F151" t="s">
        <v>12</v>
      </c>
    </row>
    <row r="152" spans="2:6" x14ac:dyDescent="0.2">
      <c r="B152" t="s">
        <v>371</v>
      </c>
      <c r="C152" s="39">
        <v>40228</v>
      </c>
      <c r="D152" t="s">
        <v>59</v>
      </c>
      <c r="E152" t="s">
        <v>389</v>
      </c>
      <c r="F152" t="s">
        <v>12</v>
      </c>
    </row>
    <row r="153" spans="2:6" x14ac:dyDescent="0.2">
      <c r="B153" t="s">
        <v>293</v>
      </c>
      <c r="C153" s="39">
        <v>36858</v>
      </c>
      <c r="D153" t="s">
        <v>59</v>
      </c>
      <c r="E153" t="s">
        <v>67</v>
      </c>
      <c r="F153" t="s">
        <v>12</v>
      </c>
    </row>
    <row r="154" spans="2:6" x14ac:dyDescent="0.2">
      <c r="B154" t="s">
        <v>294</v>
      </c>
      <c r="C154" s="39">
        <v>37641</v>
      </c>
      <c r="D154" t="s">
        <v>59</v>
      </c>
      <c r="E154" t="s">
        <v>67</v>
      </c>
      <c r="F154" t="s">
        <v>11</v>
      </c>
    </row>
    <row r="155" spans="2:6" x14ac:dyDescent="0.2">
      <c r="B155" t="s">
        <v>532</v>
      </c>
      <c r="C155" s="39">
        <v>38843</v>
      </c>
      <c r="D155" t="s">
        <v>59</v>
      </c>
      <c r="E155" t="s">
        <v>415</v>
      </c>
      <c r="F155" t="s">
        <v>11</v>
      </c>
    </row>
    <row r="156" spans="2:6" x14ac:dyDescent="0.2">
      <c r="B156" t="s">
        <v>440</v>
      </c>
      <c r="C156" s="39">
        <v>38462</v>
      </c>
      <c r="D156" t="s">
        <v>24</v>
      </c>
      <c r="E156" t="s">
        <v>26</v>
      </c>
      <c r="F156" t="s">
        <v>11</v>
      </c>
    </row>
    <row r="157" spans="2:6" x14ac:dyDescent="0.2">
      <c r="B157" t="s">
        <v>598</v>
      </c>
      <c r="C157" s="39">
        <v>39701</v>
      </c>
      <c r="D157" t="s">
        <v>599</v>
      </c>
      <c r="E157" t="s">
        <v>26</v>
      </c>
      <c r="F157" t="s">
        <v>11</v>
      </c>
    </row>
    <row r="158" spans="2:6" x14ac:dyDescent="0.2">
      <c r="B158" t="s">
        <v>130</v>
      </c>
      <c r="C158" s="39">
        <v>38267</v>
      </c>
      <c r="D158" t="s">
        <v>59</v>
      </c>
      <c r="E158" t="s">
        <v>406</v>
      </c>
      <c r="F158" t="s">
        <v>11</v>
      </c>
    </row>
    <row r="159" spans="2:6" x14ac:dyDescent="0.2">
      <c r="B159" t="s">
        <v>295</v>
      </c>
      <c r="C159" s="39">
        <v>37841</v>
      </c>
      <c r="D159" t="s">
        <v>76</v>
      </c>
      <c r="E159" t="s">
        <v>77</v>
      </c>
      <c r="F159" t="s">
        <v>11</v>
      </c>
    </row>
    <row r="160" spans="2:6" x14ac:dyDescent="0.2">
      <c r="B160" t="s">
        <v>251</v>
      </c>
      <c r="C160" s="39">
        <v>36861</v>
      </c>
      <c r="D160" t="s">
        <v>24</v>
      </c>
      <c r="E160" t="s">
        <v>26</v>
      </c>
      <c r="F160" t="s">
        <v>11</v>
      </c>
    </row>
    <row r="161" spans="2:6" x14ac:dyDescent="0.2">
      <c r="B161" t="s">
        <v>382</v>
      </c>
      <c r="C161" s="39">
        <v>38615</v>
      </c>
      <c r="D161" t="s">
        <v>59</v>
      </c>
      <c r="E161" t="s">
        <v>68</v>
      </c>
      <c r="F161" t="s">
        <v>12</v>
      </c>
    </row>
    <row r="162" spans="2:6" x14ac:dyDescent="0.2">
      <c r="B162" t="s">
        <v>384</v>
      </c>
      <c r="C162" s="39">
        <v>38534</v>
      </c>
      <c r="D162" t="s">
        <v>59</v>
      </c>
      <c r="E162" t="s">
        <v>65</v>
      </c>
      <c r="F162" t="s">
        <v>11</v>
      </c>
    </row>
    <row r="163" spans="2:6" x14ac:dyDescent="0.2">
      <c r="B163" t="s">
        <v>296</v>
      </c>
      <c r="C163" s="39">
        <v>37360</v>
      </c>
      <c r="D163" t="s">
        <v>59</v>
      </c>
      <c r="E163" t="s">
        <v>26</v>
      </c>
      <c r="F163" t="s">
        <v>11</v>
      </c>
    </row>
    <row r="164" spans="2:6" x14ac:dyDescent="0.2">
      <c r="B164" t="s">
        <v>43</v>
      </c>
      <c r="C164" s="39">
        <v>36489</v>
      </c>
      <c r="D164" t="s">
        <v>36</v>
      </c>
      <c r="E164" t="s">
        <v>22</v>
      </c>
      <c r="F164" t="s">
        <v>12</v>
      </c>
    </row>
    <row r="165" spans="2:6" x14ac:dyDescent="0.2">
      <c r="B165" t="s">
        <v>131</v>
      </c>
      <c r="C165" s="39">
        <v>38818</v>
      </c>
      <c r="D165" t="s">
        <v>59</v>
      </c>
      <c r="E165" t="s">
        <v>19</v>
      </c>
      <c r="F165" t="s">
        <v>11</v>
      </c>
    </row>
    <row r="166" spans="2:6" x14ac:dyDescent="0.2">
      <c r="B166" t="s">
        <v>132</v>
      </c>
      <c r="C166" s="39">
        <v>37109</v>
      </c>
      <c r="D166" t="s">
        <v>66</v>
      </c>
      <c r="E166" t="s">
        <v>71</v>
      </c>
      <c r="F166" t="s">
        <v>12</v>
      </c>
    </row>
    <row r="167" spans="2:6" x14ac:dyDescent="0.2">
      <c r="B167" t="s">
        <v>441</v>
      </c>
      <c r="C167" s="39">
        <v>39240</v>
      </c>
      <c r="D167" t="s">
        <v>59</v>
      </c>
      <c r="E167" t="s">
        <v>68</v>
      </c>
      <c r="F167" t="s">
        <v>11</v>
      </c>
    </row>
    <row r="168" spans="2:6" x14ac:dyDescent="0.2">
      <c r="B168" t="s">
        <v>442</v>
      </c>
      <c r="C168" s="39">
        <v>40176</v>
      </c>
      <c r="D168" t="s">
        <v>59</v>
      </c>
      <c r="E168" t="s">
        <v>68</v>
      </c>
      <c r="F168" t="s">
        <v>11</v>
      </c>
    </row>
    <row r="169" spans="2:6" x14ac:dyDescent="0.2">
      <c r="B169" t="s">
        <v>578</v>
      </c>
      <c r="C169" s="39">
        <v>39576</v>
      </c>
      <c r="D169" t="s">
        <v>24</v>
      </c>
      <c r="E169" t="s">
        <v>26</v>
      </c>
      <c r="F169" t="s">
        <v>12</v>
      </c>
    </row>
    <row r="170" spans="2:6" x14ac:dyDescent="0.2">
      <c r="B170" t="s">
        <v>297</v>
      </c>
      <c r="C170" s="39">
        <v>38202</v>
      </c>
      <c r="D170" t="s">
        <v>59</v>
      </c>
      <c r="E170" t="s">
        <v>26</v>
      </c>
      <c r="F170" t="s">
        <v>11</v>
      </c>
    </row>
    <row r="171" spans="2:6" x14ac:dyDescent="0.2">
      <c r="B171" t="s">
        <v>133</v>
      </c>
      <c r="C171" s="39">
        <v>37451</v>
      </c>
      <c r="D171" t="s">
        <v>59</v>
      </c>
      <c r="E171" t="s">
        <v>421</v>
      </c>
      <c r="F171" t="s">
        <v>11</v>
      </c>
    </row>
    <row r="172" spans="2:6" x14ac:dyDescent="0.2">
      <c r="B172" t="s">
        <v>380</v>
      </c>
      <c r="C172" s="39">
        <v>39071</v>
      </c>
      <c r="D172" t="s">
        <v>59</v>
      </c>
      <c r="E172" t="s">
        <v>65</v>
      </c>
      <c r="F172" t="s">
        <v>12</v>
      </c>
    </row>
    <row r="173" spans="2:6" x14ac:dyDescent="0.2">
      <c r="B173" t="s">
        <v>298</v>
      </c>
      <c r="C173" s="39">
        <v>38470</v>
      </c>
      <c r="D173" t="s">
        <v>61</v>
      </c>
      <c r="E173" t="s">
        <v>420</v>
      </c>
      <c r="F173" t="s">
        <v>11</v>
      </c>
    </row>
    <row r="174" spans="2:6" x14ac:dyDescent="0.2">
      <c r="B174" t="s">
        <v>134</v>
      </c>
      <c r="C174" s="39">
        <v>39195</v>
      </c>
      <c r="D174" t="s">
        <v>59</v>
      </c>
      <c r="E174" t="s">
        <v>415</v>
      </c>
      <c r="F174" t="s">
        <v>11</v>
      </c>
    </row>
    <row r="175" spans="2:6" x14ac:dyDescent="0.2">
      <c r="B175" t="s">
        <v>443</v>
      </c>
      <c r="C175" s="39">
        <v>38042</v>
      </c>
      <c r="D175" t="s">
        <v>24</v>
      </c>
      <c r="E175" t="s">
        <v>26</v>
      </c>
      <c r="F175" t="s">
        <v>11</v>
      </c>
    </row>
    <row r="177" spans="2:6" x14ac:dyDescent="0.2">
      <c r="B177" t="s">
        <v>369</v>
      </c>
      <c r="C177" s="39">
        <v>39022</v>
      </c>
      <c r="D177" t="s">
        <v>59</v>
      </c>
      <c r="E177" t="s">
        <v>65</v>
      </c>
      <c r="F177" t="s">
        <v>11</v>
      </c>
    </row>
    <row r="178" spans="2:6" x14ac:dyDescent="0.2">
      <c r="B178" t="s">
        <v>252</v>
      </c>
      <c r="C178" s="39">
        <v>38597</v>
      </c>
      <c r="D178" t="s">
        <v>24</v>
      </c>
      <c r="E178" t="s">
        <v>25</v>
      </c>
      <c r="F178" t="s">
        <v>12</v>
      </c>
    </row>
    <row r="179" spans="2:6" x14ac:dyDescent="0.2">
      <c r="B179" t="s">
        <v>404</v>
      </c>
      <c r="C179" s="39">
        <v>39300</v>
      </c>
      <c r="D179" t="s">
        <v>59</v>
      </c>
      <c r="E179" t="s">
        <v>26</v>
      </c>
      <c r="F179" t="s">
        <v>11</v>
      </c>
    </row>
    <row r="180" spans="2:6" x14ac:dyDescent="0.2">
      <c r="B180" t="s">
        <v>299</v>
      </c>
      <c r="C180" s="39">
        <v>39126</v>
      </c>
      <c r="D180" t="s">
        <v>444</v>
      </c>
      <c r="E180" t="s">
        <v>26</v>
      </c>
      <c r="F180" t="s">
        <v>12</v>
      </c>
    </row>
    <row r="181" spans="2:6" x14ac:dyDescent="0.2">
      <c r="B181" t="s">
        <v>534</v>
      </c>
      <c r="C181" s="39">
        <v>39528</v>
      </c>
      <c r="D181" t="s">
        <v>59</v>
      </c>
      <c r="E181" t="s">
        <v>406</v>
      </c>
      <c r="F181" t="s">
        <v>12</v>
      </c>
    </row>
    <row r="182" spans="2:6" x14ac:dyDescent="0.2">
      <c r="B182" t="s">
        <v>135</v>
      </c>
      <c r="C182" s="39">
        <v>38817</v>
      </c>
      <c r="D182" t="s">
        <v>59</v>
      </c>
      <c r="E182" t="s">
        <v>26</v>
      </c>
      <c r="F182" t="s">
        <v>12</v>
      </c>
    </row>
    <row r="183" spans="2:6" x14ac:dyDescent="0.2">
      <c r="B183" t="s">
        <v>300</v>
      </c>
      <c r="C183" s="39">
        <v>38166</v>
      </c>
      <c r="D183" t="s">
        <v>59</v>
      </c>
      <c r="E183" t="s">
        <v>445</v>
      </c>
      <c r="F183" t="s">
        <v>12</v>
      </c>
    </row>
    <row r="184" spans="2:6" x14ac:dyDescent="0.2">
      <c r="B184" t="s">
        <v>301</v>
      </c>
      <c r="C184" s="39">
        <v>39045</v>
      </c>
      <c r="D184" t="s">
        <v>59</v>
      </c>
      <c r="E184" t="s">
        <v>67</v>
      </c>
      <c r="F184" t="s">
        <v>12</v>
      </c>
    </row>
    <row r="185" spans="2:6" x14ac:dyDescent="0.2">
      <c r="B185" t="s">
        <v>236</v>
      </c>
      <c r="C185" s="39">
        <v>38342</v>
      </c>
      <c r="D185" t="s">
        <v>59</v>
      </c>
      <c r="E185" t="s">
        <v>65</v>
      </c>
      <c r="F185" t="s">
        <v>11</v>
      </c>
    </row>
    <row r="186" spans="2:6" x14ac:dyDescent="0.2">
      <c r="B186" t="s">
        <v>136</v>
      </c>
      <c r="C186" s="39">
        <v>39364</v>
      </c>
      <c r="D186" t="s">
        <v>59</v>
      </c>
      <c r="E186" t="s">
        <v>406</v>
      </c>
      <c r="F186" t="s">
        <v>11</v>
      </c>
    </row>
    <row r="187" spans="2:6" x14ac:dyDescent="0.2">
      <c r="B187" t="s">
        <v>446</v>
      </c>
      <c r="C187" s="39">
        <v>37788</v>
      </c>
      <c r="D187" t="s">
        <v>24</v>
      </c>
      <c r="E187" t="s">
        <v>26</v>
      </c>
      <c r="F187" t="s">
        <v>12</v>
      </c>
    </row>
    <row r="188" spans="2:6" x14ac:dyDescent="0.2">
      <c r="B188" t="s">
        <v>447</v>
      </c>
      <c r="C188" s="39">
        <v>38715</v>
      </c>
      <c r="D188" t="s">
        <v>24</v>
      </c>
      <c r="E188" t="s">
        <v>26</v>
      </c>
      <c r="F188" t="s">
        <v>11</v>
      </c>
    </row>
    <row r="189" spans="2:6" x14ac:dyDescent="0.2">
      <c r="B189" t="s">
        <v>55</v>
      </c>
      <c r="C189" s="39">
        <v>38516</v>
      </c>
      <c r="D189" t="s">
        <v>44</v>
      </c>
      <c r="E189" t="s">
        <v>47</v>
      </c>
      <c r="F189" t="s">
        <v>11</v>
      </c>
    </row>
    <row r="190" spans="2:6" x14ac:dyDescent="0.2">
      <c r="B190" t="s">
        <v>448</v>
      </c>
      <c r="C190" s="39">
        <v>39773</v>
      </c>
      <c r="D190" t="s">
        <v>59</v>
      </c>
      <c r="E190" t="s">
        <v>65</v>
      </c>
      <c r="F190" t="s">
        <v>11</v>
      </c>
    </row>
    <row r="191" spans="2:6" x14ac:dyDescent="0.2">
      <c r="B191" t="s">
        <v>137</v>
      </c>
      <c r="C191" s="39">
        <v>39559</v>
      </c>
      <c r="D191" t="s">
        <v>59</v>
      </c>
      <c r="E191" t="s">
        <v>415</v>
      </c>
      <c r="F191" t="s">
        <v>12</v>
      </c>
    </row>
    <row r="192" spans="2:6" x14ac:dyDescent="0.2">
      <c r="B192" t="s">
        <v>138</v>
      </c>
      <c r="C192" s="39">
        <v>38120</v>
      </c>
      <c r="D192" t="s">
        <v>59</v>
      </c>
      <c r="E192" t="s">
        <v>415</v>
      </c>
      <c r="F192" t="s">
        <v>11</v>
      </c>
    </row>
    <row r="193" spans="2:6" x14ac:dyDescent="0.2">
      <c r="B193" t="s">
        <v>139</v>
      </c>
      <c r="C193" s="39">
        <v>39084</v>
      </c>
      <c r="D193" t="s">
        <v>59</v>
      </c>
      <c r="E193" t="s">
        <v>26</v>
      </c>
      <c r="F193" t="s">
        <v>12</v>
      </c>
    </row>
    <row r="194" spans="2:6" x14ac:dyDescent="0.2">
      <c r="B194" t="s">
        <v>140</v>
      </c>
      <c r="C194" s="39">
        <v>39048</v>
      </c>
      <c r="D194" t="s">
        <v>59</v>
      </c>
      <c r="E194" t="s">
        <v>26</v>
      </c>
      <c r="F194" t="s">
        <v>12</v>
      </c>
    </row>
    <row r="195" spans="2:6" x14ac:dyDescent="0.2">
      <c r="B195" t="s">
        <v>141</v>
      </c>
      <c r="C195" s="39">
        <v>38421</v>
      </c>
      <c r="D195" t="s">
        <v>59</v>
      </c>
      <c r="E195" t="s">
        <v>68</v>
      </c>
      <c r="F195" t="s">
        <v>12</v>
      </c>
    </row>
    <row r="196" spans="2:6" x14ac:dyDescent="0.2">
      <c r="B196" t="s">
        <v>42</v>
      </c>
      <c r="C196" s="39">
        <v>36828</v>
      </c>
      <c r="D196" t="s">
        <v>36</v>
      </c>
      <c r="E196" t="s">
        <v>22</v>
      </c>
      <c r="F196" t="s">
        <v>12</v>
      </c>
    </row>
    <row r="197" spans="2:6" x14ac:dyDescent="0.2">
      <c r="B197" t="s">
        <v>253</v>
      </c>
      <c r="C197" s="39">
        <v>37257</v>
      </c>
      <c r="D197" t="s">
        <v>24</v>
      </c>
      <c r="E197" t="s">
        <v>26</v>
      </c>
      <c r="F197" t="s">
        <v>11</v>
      </c>
    </row>
    <row r="198" spans="2:6" x14ac:dyDescent="0.2">
      <c r="B198" t="s">
        <v>302</v>
      </c>
      <c r="C198" s="39">
        <v>38952</v>
      </c>
      <c r="D198" t="s">
        <v>59</v>
      </c>
      <c r="E198" t="s">
        <v>421</v>
      </c>
      <c r="F198" t="s">
        <v>12</v>
      </c>
    </row>
    <row r="199" spans="2:6" x14ac:dyDescent="0.2">
      <c r="B199" t="s">
        <v>303</v>
      </c>
      <c r="C199" s="39">
        <v>39595</v>
      </c>
      <c r="D199" t="s">
        <v>72</v>
      </c>
      <c r="E199" t="s">
        <v>67</v>
      </c>
      <c r="F199" t="s">
        <v>11</v>
      </c>
    </row>
    <row r="200" spans="2:6" x14ac:dyDescent="0.2">
      <c r="B200" t="s">
        <v>142</v>
      </c>
      <c r="C200" s="39">
        <v>39268</v>
      </c>
      <c r="D200" t="s">
        <v>59</v>
      </c>
      <c r="E200" t="s">
        <v>19</v>
      </c>
      <c r="F200" t="s">
        <v>12</v>
      </c>
    </row>
    <row r="201" spans="2:6" x14ac:dyDescent="0.2">
      <c r="B201" t="s">
        <v>536</v>
      </c>
      <c r="C201" s="39">
        <v>36749</v>
      </c>
      <c r="D201" t="s">
        <v>61</v>
      </c>
      <c r="E201" t="s">
        <v>420</v>
      </c>
      <c r="F201" t="s">
        <v>11</v>
      </c>
    </row>
    <row r="202" spans="2:6" x14ac:dyDescent="0.2">
      <c r="B202" t="s">
        <v>143</v>
      </c>
      <c r="C202" s="39">
        <v>38586</v>
      </c>
      <c r="D202" t="s">
        <v>59</v>
      </c>
      <c r="E202" t="s">
        <v>415</v>
      </c>
      <c r="F202" t="s">
        <v>12</v>
      </c>
    </row>
    <row r="203" spans="2:6" x14ac:dyDescent="0.2">
      <c r="B203" t="s">
        <v>144</v>
      </c>
      <c r="C203" s="39">
        <v>38113</v>
      </c>
      <c r="D203" t="s">
        <v>66</v>
      </c>
      <c r="E203" t="s">
        <v>71</v>
      </c>
      <c r="F203" t="s">
        <v>12</v>
      </c>
    </row>
    <row r="204" spans="2:6" x14ac:dyDescent="0.2">
      <c r="B204" t="s">
        <v>304</v>
      </c>
      <c r="C204" s="39">
        <v>39413</v>
      </c>
      <c r="D204" t="s">
        <v>59</v>
      </c>
      <c r="E204" t="s">
        <v>65</v>
      </c>
      <c r="F204" t="s">
        <v>11</v>
      </c>
    </row>
    <row r="205" spans="2:6" x14ac:dyDescent="0.2">
      <c r="B205" t="s">
        <v>305</v>
      </c>
      <c r="C205" s="39">
        <v>39511</v>
      </c>
      <c r="D205" t="s">
        <v>449</v>
      </c>
      <c r="E205" t="s">
        <v>26</v>
      </c>
      <c r="F205" t="s">
        <v>11</v>
      </c>
    </row>
    <row r="206" spans="2:6" x14ac:dyDescent="0.2">
      <c r="B206" t="s">
        <v>145</v>
      </c>
      <c r="C206" s="39">
        <v>37591</v>
      </c>
      <c r="D206" t="s">
        <v>59</v>
      </c>
      <c r="E206" t="s">
        <v>63</v>
      </c>
      <c r="F206" t="s">
        <v>11</v>
      </c>
    </row>
    <row r="207" spans="2:6" x14ac:dyDescent="0.2">
      <c r="B207" t="s">
        <v>575</v>
      </c>
      <c r="C207" s="39">
        <v>40051</v>
      </c>
      <c r="D207" t="s">
        <v>24</v>
      </c>
      <c r="E207" t="s">
        <v>572</v>
      </c>
      <c r="F207" t="s">
        <v>12</v>
      </c>
    </row>
    <row r="208" spans="2:6" x14ac:dyDescent="0.2">
      <c r="B208" t="s">
        <v>306</v>
      </c>
      <c r="C208" s="39">
        <v>39649</v>
      </c>
      <c r="D208" t="s">
        <v>59</v>
      </c>
      <c r="E208" t="s">
        <v>26</v>
      </c>
      <c r="F208" t="s">
        <v>11</v>
      </c>
    </row>
    <row r="209" spans="2:6" x14ac:dyDescent="0.2">
      <c r="B209" t="s">
        <v>255</v>
      </c>
      <c r="C209" s="39">
        <v>37812</v>
      </c>
      <c r="D209" t="s">
        <v>24</v>
      </c>
      <c r="E209" t="s">
        <v>26</v>
      </c>
      <c r="F209" t="s">
        <v>11</v>
      </c>
    </row>
    <row r="210" spans="2:6" x14ac:dyDescent="0.2">
      <c r="B210" t="s">
        <v>610</v>
      </c>
      <c r="C210" s="39">
        <v>39269</v>
      </c>
      <c r="D210" t="s">
        <v>24</v>
      </c>
      <c r="E210" t="s">
        <v>26</v>
      </c>
      <c r="F210" t="s">
        <v>11</v>
      </c>
    </row>
    <row r="211" spans="2:6" x14ac:dyDescent="0.2">
      <c r="B211" t="s">
        <v>254</v>
      </c>
      <c r="C211" s="39">
        <v>38919</v>
      </c>
      <c r="D211" t="s">
        <v>24</v>
      </c>
      <c r="E211" t="s">
        <v>26</v>
      </c>
      <c r="F211" t="s">
        <v>11</v>
      </c>
    </row>
    <row r="212" spans="2:6" x14ac:dyDescent="0.2">
      <c r="B212" t="s">
        <v>611</v>
      </c>
      <c r="C212" s="39">
        <v>38725</v>
      </c>
      <c r="D212" t="s">
        <v>24</v>
      </c>
      <c r="E212" t="s">
        <v>26</v>
      </c>
      <c r="F212" t="s">
        <v>11</v>
      </c>
    </row>
    <row r="213" spans="2:6" x14ac:dyDescent="0.2">
      <c r="B213" t="s">
        <v>307</v>
      </c>
      <c r="C213" s="39">
        <v>38775</v>
      </c>
      <c r="D213" t="s">
        <v>59</v>
      </c>
      <c r="E213" t="s">
        <v>65</v>
      </c>
      <c r="F213" t="s">
        <v>11</v>
      </c>
    </row>
    <row r="214" spans="2:6" x14ac:dyDescent="0.2">
      <c r="B214" t="s">
        <v>612</v>
      </c>
      <c r="C214" s="39">
        <v>38917</v>
      </c>
      <c r="D214" t="s">
        <v>24</v>
      </c>
      <c r="E214" t="s">
        <v>26</v>
      </c>
      <c r="F214" t="s">
        <v>12</v>
      </c>
    </row>
    <row r="215" spans="2:6" x14ac:dyDescent="0.2">
      <c r="B215" t="s">
        <v>146</v>
      </c>
      <c r="C215" s="39">
        <v>39331</v>
      </c>
      <c r="D215" t="s">
        <v>59</v>
      </c>
      <c r="E215" t="s">
        <v>63</v>
      </c>
      <c r="F215" t="s">
        <v>12</v>
      </c>
    </row>
    <row r="216" spans="2:6" x14ac:dyDescent="0.2">
      <c r="B216" t="s">
        <v>147</v>
      </c>
      <c r="C216" s="39">
        <v>38309</v>
      </c>
      <c r="D216" t="s">
        <v>59</v>
      </c>
      <c r="E216" t="s">
        <v>19</v>
      </c>
      <c r="F216" t="s">
        <v>12</v>
      </c>
    </row>
    <row r="217" spans="2:6" x14ac:dyDescent="0.2">
      <c r="B217" t="s">
        <v>451</v>
      </c>
      <c r="C217" s="39">
        <v>38409</v>
      </c>
      <c r="D217" t="s">
        <v>59</v>
      </c>
      <c r="E217" t="s">
        <v>415</v>
      </c>
      <c r="F217" t="s">
        <v>11</v>
      </c>
    </row>
    <row r="218" spans="2:6" x14ac:dyDescent="0.2">
      <c r="B218" t="s">
        <v>452</v>
      </c>
      <c r="C218" s="39">
        <v>38419</v>
      </c>
      <c r="D218" t="s">
        <v>24</v>
      </c>
      <c r="E218" t="s">
        <v>26</v>
      </c>
      <c r="F218" t="s">
        <v>12</v>
      </c>
    </row>
    <row r="219" spans="2:6" x14ac:dyDescent="0.2">
      <c r="B219" t="s">
        <v>453</v>
      </c>
      <c r="C219" s="39">
        <v>38920</v>
      </c>
      <c r="D219" t="s">
        <v>24</v>
      </c>
      <c r="E219" t="s">
        <v>26</v>
      </c>
      <c r="F219" t="s">
        <v>11</v>
      </c>
    </row>
    <row r="220" spans="2:6" x14ac:dyDescent="0.2">
      <c r="B220" t="s">
        <v>386</v>
      </c>
      <c r="C220" s="39">
        <v>39988</v>
      </c>
      <c r="D220" t="s">
        <v>59</v>
      </c>
      <c r="E220" t="s">
        <v>67</v>
      </c>
      <c r="F220" t="s">
        <v>12</v>
      </c>
    </row>
    <row r="221" spans="2:6" x14ac:dyDescent="0.2">
      <c r="B221" t="s">
        <v>387</v>
      </c>
      <c r="C221" s="39">
        <v>39472</v>
      </c>
      <c r="D221" t="s">
        <v>59</v>
      </c>
      <c r="E221" t="s">
        <v>67</v>
      </c>
      <c r="F221" t="s">
        <v>11</v>
      </c>
    </row>
    <row r="222" spans="2:6" x14ac:dyDescent="0.2">
      <c r="B222" t="s">
        <v>308</v>
      </c>
      <c r="C222" s="39">
        <v>39308</v>
      </c>
      <c r="D222" t="s">
        <v>59</v>
      </c>
      <c r="E222" t="s">
        <v>421</v>
      </c>
      <c r="F222" t="s">
        <v>11</v>
      </c>
    </row>
    <row r="223" spans="2:6" x14ac:dyDescent="0.2">
      <c r="B223" t="s">
        <v>235</v>
      </c>
      <c r="C223" s="39">
        <v>39486</v>
      </c>
      <c r="D223" t="s">
        <v>59</v>
      </c>
      <c r="E223" t="s">
        <v>26</v>
      </c>
      <c r="F223" t="s">
        <v>12</v>
      </c>
    </row>
    <row r="224" spans="2:6" x14ac:dyDescent="0.2">
      <c r="B224" t="s">
        <v>376</v>
      </c>
      <c r="C224" s="39">
        <v>39543</v>
      </c>
      <c r="D224" t="s">
        <v>74</v>
      </c>
      <c r="E224" t="s">
        <v>65</v>
      </c>
      <c r="F224" t="s">
        <v>11</v>
      </c>
    </row>
    <row r="225" spans="2:6" x14ac:dyDescent="0.2">
      <c r="B225" t="s">
        <v>403</v>
      </c>
      <c r="C225" s="39">
        <v>38644</v>
      </c>
      <c r="D225" t="s">
        <v>59</v>
      </c>
      <c r="E225" t="s">
        <v>65</v>
      </c>
      <c r="F225" t="s">
        <v>12</v>
      </c>
    </row>
    <row r="226" spans="2:6" x14ac:dyDescent="0.2">
      <c r="B226" t="s">
        <v>559</v>
      </c>
      <c r="C226" s="39">
        <v>39350</v>
      </c>
      <c r="D226" t="s">
        <v>59</v>
      </c>
      <c r="E226" t="s">
        <v>415</v>
      </c>
      <c r="F226" t="s">
        <v>12</v>
      </c>
    </row>
    <row r="227" spans="2:6" x14ac:dyDescent="0.2">
      <c r="B227" t="s">
        <v>256</v>
      </c>
      <c r="C227" s="39">
        <v>38996</v>
      </c>
      <c r="D227" t="s">
        <v>24</v>
      </c>
      <c r="E227" t="s">
        <v>23</v>
      </c>
      <c r="F227" t="s">
        <v>12</v>
      </c>
    </row>
    <row r="228" spans="2:6" x14ac:dyDescent="0.2">
      <c r="B228" t="s">
        <v>257</v>
      </c>
      <c r="C228" s="39">
        <v>37507</v>
      </c>
      <c r="D228" t="s">
        <v>24</v>
      </c>
      <c r="E228" t="s">
        <v>23</v>
      </c>
      <c r="F228" t="s">
        <v>11</v>
      </c>
    </row>
    <row r="229" spans="2:6" x14ac:dyDescent="0.2">
      <c r="B229" t="s">
        <v>368</v>
      </c>
      <c r="C229" s="39">
        <v>36562</v>
      </c>
      <c r="D229" t="s">
        <v>59</v>
      </c>
      <c r="E229" t="s">
        <v>26</v>
      </c>
      <c r="F229" t="s">
        <v>12</v>
      </c>
    </row>
    <row r="230" spans="2:6" x14ac:dyDescent="0.2">
      <c r="B230" t="s">
        <v>567</v>
      </c>
      <c r="C230" s="39">
        <v>39232</v>
      </c>
      <c r="D230" t="s">
        <v>59</v>
      </c>
      <c r="E230" t="s">
        <v>415</v>
      </c>
      <c r="F230" t="s">
        <v>12</v>
      </c>
    </row>
    <row r="231" spans="2:6" x14ac:dyDescent="0.2">
      <c r="B231" t="s">
        <v>309</v>
      </c>
      <c r="C231" s="39">
        <v>38958</v>
      </c>
      <c r="D231" t="s">
        <v>59</v>
      </c>
      <c r="E231" t="s">
        <v>26</v>
      </c>
      <c r="F231" t="s">
        <v>11</v>
      </c>
    </row>
    <row r="232" spans="2:6" x14ac:dyDescent="0.2">
      <c r="B232" t="s">
        <v>258</v>
      </c>
      <c r="C232" s="39">
        <v>37145</v>
      </c>
      <c r="D232" t="s">
        <v>24</v>
      </c>
      <c r="E232" t="s">
        <v>26</v>
      </c>
      <c r="F232" t="s">
        <v>11</v>
      </c>
    </row>
    <row r="233" spans="2:6" x14ac:dyDescent="0.2">
      <c r="B233" t="s">
        <v>454</v>
      </c>
      <c r="C233" s="39">
        <v>38353</v>
      </c>
      <c r="D233" t="s">
        <v>24</v>
      </c>
      <c r="E233" t="s">
        <v>26</v>
      </c>
      <c r="F233" t="s">
        <v>11</v>
      </c>
    </row>
    <row r="234" spans="2:6" x14ac:dyDescent="0.2">
      <c r="B234" t="s">
        <v>53</v>
      </c>
      <c r="C234" s="39">
        <v>37812</v>
      </c>
      <c r="D234" t="s">
        <v>44</v>
      </c>
      <c r="E234" t="s">
        <v>26</v>
      </c>
      <c r="F234" t="s">
        <v>12</v>
      </c>
    </row>
    <row r="235" spans="2:6" x14ac:dyDescent="0.2">
      <c r="B235" t="s">
        <v>48</v>
      </c>
      <c r="C235" s="39">
        <v>38636</v>
      </c>
      <c r="D235" t="s">
        <v>44</v>
      </c>
      <c r="E235" t="s">
        <v>26</v>
      </c>
      <c r="F235" t="s">
        <v>12</v>
      </c>
    </row>
    <row r="236" spans="2:6" x14ac:dyDescent="0.2">
      <c r="B236" t="s">
        <v>259</v>
      </c>
      <c r="C236" s="39">
        <v>37468</v>
      </c>
      <c r="D236" t="s">
        <v>24</v>
      </c>
      <c r="E236" t="s">
        <v>26</v>
      </c>
      <c r="F236" t="s">
        <v>11</v>
      </c>
    </row>
    <row r="237" spans="2:6" x14ac:dyDescent="0.2">
      <c r="B237" t="s">
        <v>455</v>
      </c>
      <c r="C237" s="39">
        <v>39338</v>
      </c>
      <c r="D237" t="s">
        <v>59</v>
      </c>
      <c r="E237" t="s">
        <v>415</v>
      </c>
      <c r="F237" t="s">
        <v>12</v>
      </c>
    </row>
    <row r="238" spans="2:6" x14ac:dyDescent="0.2">
      <c r="B238" t="s">
        <v>148</v>
      </c>
      <c r="C238" s="39">
        <v>38113</v>
      </c>
      <c r="D238" t="s">
        <v>59</v>
      </c>
      <c r="E238" t="s">
        <v>406</v>
      </c>
      <c r="F238" t="s">
        <v>12</v>
      </c>
    </row>
    <row r="239" spans="2:6" x14ac:dyDescent="0.2">
      <c r="B239" t="s">
        <v>149</v>
      </c>
      <c r="C239" s="39">
        <v>38979</v>
      </c>
      <c r="D239" t="s">
        <v>59</v>
      </c>
      <c r="E239" t="s">
        <v>406</v>
      </c>
      <c r="F239" t="s">
        <v>11</v>
      </c>
    </row>
    <row r="240" spans="2:6" x14ac:dyDescent="0.2">
      <c r="B240" t="s">
        <v>29</v>
      </c>
      <c r="C240" s="39">
        <v>38644</v>
      </c>
      <c r="D240" t="s">
        <v>36</v>
      </c>
      <c r="E240" t="s">
        <v>22</v>
      </c>
      <c r="F240" t="s">
        <v>12</v>
      </c>
    </row>
    <row r="241" spans="2:6" x14ac:dyDescent="0.2">
      <c r="B241" t="s">
        <v>150</v>
      </c>
      <c r="C241" s="39">
        <v>38561</v>
      </c>
      <c r="D241" t="s">
        <v>59</v>
      </c>
      <c r="E241" t="s">
        <v>68</v>
      </c>
      <c r="F241" t="s">
        <v>11</v>
      </c>
    </row>
    <row r="242" spans="2:6" x14ac:dyDescent="0.2">
      <c r="B242" t="s">
        <v>310</v>
      </c>
      <c r="C242" s="39">
        <v>36515</v>
      </c>
      <c r="D242" t="s">
        <v>59</v>
      </c>
      <c r="E242" t="s">
        <v>456</v>
      </c>
      <c r="F242" t="s">
        <v>11</v>
      </c>
    </row>
    <row r="243" spans="2:6" x14ac:dyDescent="0.2">
      <c r="B243" t="s">
        <v>311</v>
      </c>
      <c r="C243" s="39">
        <v>36298</v>
      </c>
      <c r="D243" t="s">
        <v>61</v>
      </c>
      <c r="E243" t="s">
        <v>420</v>
      </c>
      <c r="F243" t="s">
        <v>12</v>
      </c>
    </row>
    <row r="244" spans="2:6" x14ac:dyDescent="0.2">
      <c r="B244" t="s">
        <v>49</v>
      </c>
      <c r="C244" s="39">
        <v>38630</v>
      </c>
      <c r="D244" t="s">
        <v>44</v>
      </c>
      <c r="E244" t="s">
        <v>47</v>
      </c>
      <c r="F244" t="s">
        <v>11</v>
      </c>
    </row>
    <row r="245" spans="2:6" x14ac:dyDescent="0.2">
      <c r="B245" t="s">
        <v>457</v>
      </c>
      <c r="C245" s="39">
        <v>37498</v>
      </c>
      <c r="D245" t="s">
        <v>458</v>
      </c>
      <c r="E245" t="s">
        <v>23</v>
      </c>
      <c r="F245" t="s">
        <v>12</v>
      </c>
    </row>
    <row r="246" spans="2:6" x14ac:dyDescent="0.2">
      <c r="B246" t="s">
        <v>151</v>
      </c>
      <c r="C246" s="39">
        <v>39696</v>
      </c>
      <c r="D246" t="s">
        <v>72</v>
      </c>
      <c r="E246" t="s">
        <v>26</v>
      </c>
      <c r="F246" t="s">
        <v>11</v>
      </c>
    </row>
    <row r="247" spans="2:6" x14ac:dyDescent="0.2">
      <c r="B247" t="s">
        <v>394</v>
      </c>
      <c r="C247" s="39">
        <v>39428</v>
      </c>
      <c r="D247" t="s">
        <v>59</v>
      </c>
      <c r="E247" t="s">
        <v>389</v>
      </c>
      <c r="F247" t="s">
        <v>12</v>
      </c>
    </row>
    <row r="248" spans="2:6" x14ac:dyDescent="0.2">
      <c r="B248" t="s">
        <v>32</v>
      </c>
      <c r="C248" s="39">
        <v>38399</v>
      </c>
      <c r="D248" t="s">
        <v>24</v>
      </c>
      <c r="E248" t="s">
        <v>23</v>
      </c>
      <c r="F248" t="s">
        <v>12</v>
      </c>
    </row>
    <row r="249" spans="2:6" x14ac:dyDescent="0.2">
      <c r="B249" t="s">
        <v>152</v>
      </c>
      <c r="C249" s="39">
        <v>38063</v>
      </c>
      <c r="D249" t="s">
        <v>59</v>
      </c>
      <c r="E249" t="s">
        <v>459</v>
      </c>
      <c r="F249" t="s">
        <v>12</v>
      </c>
    </row>
    <row r="250" spans="2:6" x14ac:dyDescent="0.2">
      <c r="B250" t="s">
        <v>460</v>
      </c>
      <c r="C250" s="39">
        <v>39720</v>
      </c>
      <c r="D250" t="s">
        <v>59</v>
      </c>
      <c r="E250" t="s">
        <v>406</v>
      </c>
      <c r="F250" t="s">
        <v>11</v>
      </c>
    </row>
    <row r="251" spans="2:6" x14ac:dyDescent="0.2">
      <c r="B251" t="s">
        <v>461</v>
      </c>
      <c r="C251" s="39">
        <v>39740</v>
      </c>
      <c r="D251" t="s">
        <v>59</v>
      </c>
      <c r="E251" t="s">
        <v>68</v>
      </c>
      <c r="F251" t="s">
        <v>12</v>
      </c>
    </row>
    <row r="252" spans="2:6" x14ac:dyDescent="0.2">
      <c r="B252" t="s">
        <v>234</v>
      </c>
      <c r="C252" s="39">
        <v>38182</v>
      </c>
      <c r="D252" t="s">
        <v>59</v>
      </c>
      <c r="E252" t="s">
        <v>421</v>
      </c>
      <c r="F252" t="s">
        <v>12</v>
      </c>
    </row>
    <row r="253" spans="2:6" x14ac:dyDescent="0.2">
      <c r="B253" t="s">
        <v>153</v>
      </c>
      <c r="C253" s="39">
        <v>37411</v>
      </c>
      <c r="D253" t="s">
        <v>59</v>
      </c>
      <c r="E253" t="s">
        <v>65</v>
      </c>
      <c r="F253" t="s">
        <v>12</v>
      </c>
    </row>
    <row r="254" spans="2:6" x14ac:dyDescent="0.2">
      <c r="B254" t="s">
        <v>312</v>
      </c>
      <c r="C254" s="39">
        <v>38392</v>
      </c>
      <c r="D254" t="s">
        <v>66</v>
      </c>
      <c r="E254" t="s">
        <v>71</v>
      </c>
      <c r="F254" t="s">
        <v>12</v>
      </c>
    </row>
    <row r="255" spans="2:6" x14ac:dyDescent="0.2">
      <c r="B255" t="s">
        <v>462</v>
      </c>
      <c r="C255" s="39">
        <v>38369</v>
      </c>
      <c r="D255" t="s">
        <v>24</v>
      </c>
      <c r="E255" t="s">
        <v>26</v>
      </c>
      <c r="F255" t="s">
        <v>12</v>
      </c>
    </row>
    <row r="256" spans="2:6" x14ac:dyDescent="0.2">
      <c r="B256" t="s">
        <v>154</v>
      </c>
      <c r="C256" s="39">
        <v>39381</v>
      </c>
      <c r="D256" t="s">
        <v>59</v>
      </c>
      <c r="E256" t="s">
        <v>73</v>
      </c>
      <c r="F256" t="s">
        <v>12</v>
      </c>
    </row>
    <row r="257" spans="2:6" x14ac:dyDescent="0.2">
      <c r="B257" t="s">
        <v>313</v>
      </c>
      <c r="C257" s="39">
        <v>38100</v>
      </c>
      <c r="D257" t="s">
        <v>66</v>
      </c>
      <c r="E257" t="s">
        <v>71</v>
      </c>
      <c r="F257" t="s">
        <v>12</v>
      </c>
    </row>
    <row r="258" spans="2:6" x14ac:dyDescent="0.2">
      <c r="B258" t="s">
        <v>260</v>
      </c>
      <c r="C258" s="39">
        <v>36892</v>
      </c>
      <c r="D258" t="s">
        <v>458</v>
      </c>
      <c r="E258" t="s">
        <v>26</v>
      </c>
      <c r="F258" t="s">
        <v>11</v>
      </c>
    </row>
    <row r="259" spans="2:6" x14ac:dyDescent="0.2">
      <c r="B259" t="s">
        <v>545</v>
      </c>
      <c r="C259" s="39">
        <v>37785</v>
      </c>
      <c r="D259" t="s">
        <v>59</v>
      </c>
      <c r="E259" t="s">
        <v>465</v>
      </c>
      <c r="F259" t="s">
        <v>12</v>
      </c>
    </row>
    <row r="260" spans="2:6" x14ac:dyDescent="0.2">
      <c r="B260" t="s">
        <v>155</v>
      </c>
      <c r="C260" s="39">
        <v>39334</v>
      </c>
      <c r="D260" t="s">
        <v>59</v>
      </c>
      <c r="E260" t="s">
        <v>65</v>
      </c>
      <c r="F260" t="s">
        <v>11</v>
      </c>
    </row>
    <row r="261" spans="2:6" x14ac:dyDescent="0.2">
      <c r="B261" t="s">
        <v>314</v>
      </c>
      <c r="C261" s="39">
        <v>39178</v>
      </c>
      <c r="D261" t="s">
        <v>59</v>
      </c>
      <c r="E261" t="s">
        <v>26</v>
      </c>
      <c r="F261" t="s">
        <v>12</v>
      </c>
    </row>
    <row r="262" spans="2:6" x14ac:dyDescent="0.2">
      <c r="B262" t="s">
        <v>528</v>
      </c>
      <c r="C262" s="39">
        <v>38527</v>
      </c>
      <c r="D262" t="s">
        <v>59</v>
      </c>
      <c r="E262" t="s">
        <v>406</v>
      </c>
      <c r="F262" t="s">
        <v>11</v>
      </c>
    </row>
    <row r="263" spans="2:6" x14ac:dyDescent="0.2">
      <c r="B263" t="s">
        <v>156</v>
      </c>
      <c r="C263" s="39">
        <v>38161</v>
      </c>
      <c r="D263" t="s">
        <v>61</v>
      </c>
      <c r="E263" t="s">
        <v>420</v>
      </c>
      <c r="F263" t="s">
        <v>12</v>
      </c>
    </row>
    <row r="264" spans="2:6" x14ac:dyDescent="0.2">
      <c r="B264" t="s">
        <v>157</v>
      </c>
      <c r="C264" s="39">
        <v>37508</v>
      </c>
      <c r="D264" t="s">
        <v>463</v>
      </c>
      <c r="E264" t="s">
        <v>26</v>
      </c>
      <c r="F264" t="s">
        <v>12</v>
      </c>
    </row>
    <row r="265" spans="2:6" x14ac:dyDescent="0.2">
      <c r="B265" t="s">
        <v>261</v>
      </c>
      <c r="C265" s="39">
        <v>38069</v>
      </c>
      <c r="D265" t="s">
        <v>24</v>
      </c>
      <c r="E265" t="s">
        <v>595</v>
      </c>
      <c r="F265" t="s">
        <v>11</v>
      </c>
    </row>
    <row r="266" spans="2:6" x14ac:dyDescent="0.2">
      <c r="B266" t="s">
        <v>586</v>
      </c>
      <c r="C266" s="39">
        <v>40299</v>
      </c>
      <c r="D266" t="s">
        <v>24</v>
      </c>
      <c r="E266" t="s">
        <v>26</v>
      </c>
      <c r="F266" t="s">
        <v>12</v>
      </c>
    </row>
    <row r="267" spans="2:6" x14ac:dyDescent="0.2">
      <c r="B267" t="s">
        <v>158</v>
      </c>
      <c r="C267" s="39">
        <v>38929</v>
      </c>
      <c r="D267" t="s">
        <v>59</v>
      </c>
      <c r="E267" t="s">
        <v>26</v>
      </c>
      <c r="F267" t="s">
        <v>12</v>
      </c>
    </row>
    <row r="268" spans="2:6" x14ac:dyDescent="0.2">
      <c r="B268" t="s">
        <v>31</v>
      </c>
      <c r="C268" s="39">
        <v>37851</v>
      </c>
      <c r="D268" t="s">
        <v>24</v>
      </c>
      <c r="E268" t="s">
        <v>26</v>
      </c>
      <c r="F268" t="s">
        <v>12</v>
      </c>
    </row>
    <row r="269" spans="2:6" x14ac:dyDescent="0.2">
      <c r="B269" t="s">
        <v>614</v>
      </c>
      <c r="C269" s="39">
        <v>37617</v>
      </c>
      <c r="D269" t="s">
        <v>24</v>
      </c>
      <c r="E269" t="s">
        <v>26</v>
      </c>
      <c r="F269" t="s">
        <v>12</v>
      </c>
    </row>
    <row r="270" spans="2:6" x14ac:dyDescent="0.2">
      <c r="B270" t="s">
        <v>577</v>
      </c>
      <c r="C270" s="39">
        <v>39659</v>
      </c>
      <c r="D270" t="s">
        <v>24</v>
      </c>
      <c r="E270" t="s">
        <v>26</v>
      </c>
      <c r="F270" t="s">
        <v>11</v>
      </c>
    </row>
    <row r="271" spans="2:6" x14ac:dyDescent="0.2">
      <c r="B271" t="s">
        <v>159</v>
      </c>
      <c r="C271" s="39">
        <v>36656</v>
      </c>
      <c r="D271" t="s">
        <v>59</v>
      </c>
      <c r="E271" t="s">
        <v>26</v>
      </c>
      <c r="F271" t="s">
        <v>11</v>
      </c>
    </row>
    <row r="272" spans="2:6" x14ac:dyDescent="0.2">
      <c r="B272" t="s">
        <v>613</v>
      </c>
      <c r="C272" s="39">
        <v>38598</v>
      </c>
      <c r="D272" t="s">
        <v>24</v>
      </c>
      <c r="E272" t="s">
        <v>26</v>
      </c>
      <c r="F272" t="s">
        <v>11</v>
      </c>
    </row>
    <row r="273" spans="2:6" x14ac:dyDescent="0.2">
      <c r="B273" t="s">
        <v>464</v>
      </c>
      <c r="C273" s="39">
        <v>37505</v>
      </c>
      <c r="D273" t="s">
        <v>24</v>
      </c>
      <c r="E273" t="s">
        <v>572</v>
      </c>
      <c r="F273" t="s">
        <v>11</v>
      </c>
    </row>
    <row r="274" spans="2:6" x14ac:dyDescent="0.2">
      <c r="B274" t="s">
        <v>37</v>
      </c>
      <c r="C274" s="39">
        <v>37505</v>
      </c>
      <c r="D274" t="s">
        <v>24</v>
      </c>
      <c r="E274" t="s">
        <v>23</v>
      </c>
      <c r="F274" t="s">
        <v>11</v>
      </c>
    </row>
    <row r="275" spans="2:6" x14ac:dyDescent="0.2">
      <c r="B275" t="s">
        <v>160</v>
      </c>
      <c r="C275" s="39">
        <v>36804</v>
      </c>
      <c r="D275" t="s">
        <v>59</v>
      </c>
      <c r="E275" t="s">
        <v>421</v>
      </c>
      <c r="F275" t="s">
        <v>12</v>
      </c>
    </row>
    <row r="276" spans="2:6" x14ac:dyDescent="0.2">
      <c r="B276" t="s">
        <v>522</v>
      </c>
      <c r="C276" s="39">
        <v>36851</v>
      </c>
      <c r="D276" t="s">
        <v>59</v>
      </c>
      <c r="E276" t="s">
        <v>406</v>
      </c>
      <c r="F276" t="s">
        <v>12</v>
      </c>
    </row>
    <row r="277" spans="2:6" x14ac:dyDescent="0.2">
      <c r="B277" t="s">
        <v>315</v>
      </c>
      <c r="C277" s="39">
        <v>38669</v>
      </c>
      <c r="D277" t="s">
        <v>59</v>
      </c>
      <c r="E277" t="s">
        <v>26</v>
      </c>
      <c r="F277" t="s">
        <v>11</v>
      </c>
    </row>
    <row r="278" spans="2:6" x14ac:dyDescent="0.2">
      <c r="B278" t="s">
        <v>316</v>
      </c>
      <c r="C278" s="39">
        <v>37887</v>
      </c>
      <c r="D278" t="s">
        <v>59</v>
      </c>
      <c r="E278" t="s">
        <v>465</v>
      </c>
      <c r="F278" t="s">
        <v>12</v>
      </c>
    </row>
    <row r="279" spans="2:6" x14ac:dyDescent="0.2">
      <c r="B279" t="s">
        <v>466</v>
      </c>
      <c r="C279" s="39">
        <v>37667</v>
      </c>
      <c r="D279" t="s">
        <v>24</v>
      </c>
      <c r="E279" t="s">
        <v>26</v>
      </c>
      <c r="F279" t="s">
        <v>12</v>
      </c>
    </row>
    <row r="280" spans="2:6" x14ac:dyDescent="0.2">
      <c r="B280" t="s">
        <v>161</v>
      </c>
      <c r="C280" s="39">
        <v>37104</v>
      </c>
      <c r="D280" t="s">
        <v>59</v>
      </c>
      <c r="E280" t="s">
        <v>63</v>
      </c>
      <c r="F280" t="s">
        <v>12</v>
      </c>
    </row>
    <row r="281" spans="2:6" x14ac:dyDescent="0.2">
      <c r="B281" t="s">
        <v>317</v>
      </c>
      <c r="C281" s="39">
        <v>39224</v>
      </c>
      <c r="D281" t="s">
        <v>59</v>
      </c>
      <c r="E281" t="s">
        <v>67</v>
      </c>
      <c r="F281" t="s">
        <v>12</v>
      </c>
    </row>
    <row r="282" spans="2:6" x14ac:dyDescent="0.2">
      <c r="B282" t="s">
        <v>566</v>
      </c>
      <c r="C282" s="39">
        <v>38292</v>
      </c>
      <c r="D282" t="s">
        <v>59</v>
      </c>
      <c r="E282" t="s">
        <v>389</v>
      </c>
      <c r="F282" t="s">
        <v>11</v>
      </c>
    </row>
    <row r="283" spans="2:6" x14ac:dyDescent="0.2">
      <c r="B283" t="s">
        <v>28</v>
      </c>
      <c r="C283" s="39">
        <v>37649</v>
      </c>
      <c r="D283" t="s">
        <v>36</v>
      </c>
      <c r="E283" t="s">
        <v>22</v>
      </c>
      <c r="F283" t="s">
        <v>12</v>
      </c>
    </row>
    <row r="284" spans="2:6" x14ac:dyDescent="0.2">
      <c r="B284" t="s">
        <v>318</v>
      </c>
      <c r="C284" s="39">
        <v>36241</v>
      </c>
      <c r="D284" t="s">
        <v>59</v>
      </c>
      <c r="E284" t="s">
        <v>421</v>
      </c>
      <c r="F284" t="s">
        <v>11</v>
      </c>
    </row>
    <row r="285" spans="2:6" x14ac:dyDescent="0.2">
      <c r="B285" t="s">
        <v>397</v>
      </c>
      <c r="C285" s="39">
        <v>39132</v>
      </c>
      <c r="D285" t="s">
        <v>59</v>
      </c>
      <c r="E285" t="s">
        <v>67</v>
      </c>
      <c r="F285" t="s">
        <v>12</v>
      </c>
    </row>
    <row r="286" spans="2:6" x14ac:dyDescent="0.2">
      <c r="B286" t="s">
        <v>398</v>
      </c>
      <c r="C286" s="39">
        <v>39552</v>
      </c>
      <c r="D286" t="s">
        <v>59</v>
      </c>
      <c r="E286" t="s">
        <v>67</v>
      </c>
      <c r="F286" t="s">
        <v>12</v>
      </c>
    </row>
    <row r="287" spans="2:6" x14ac:dyDescent="0.2">
      <c r="B287" t="s">
        <v>162</v>
      </c>
      <c r="C287" s="39">
        <v>37288</v>
      </c>
      <c r="D287" t="s">
        <v>74</v>
      </c>
      <c r="E287" t="s">
        <v>415</v>
      </c>
      <c r="F287" t="s">
        <v>12</v>
      </c>
    </row>
    <row r="288" spans="2:6" x14ac:dyDescent="0.2">
      <c r="B288" t="s">
        <v>163</v>
      </c>
      <c r="C288" s="39">
        <v>38007</v>
      </c>
      <c r="D288" t="s">
        <v>74</v>
      </c>
      <c r="E288" t="s">
        <v>415</v>
      </c>
      <c r="F288" t="s">
        <v>11</v>
      </c>
    </row>
    <row r="289" spans="2:6" x14ac:dyDescent="0.2">
      <c r="B289" t="s">
        <v>319</v>
      </c>
      <c r="C289" s="39">
        <v>38886</v>
      </c>
      <c r="D289" t="s">
        <v>467</v>
      </c>
      <c r="E289" t="s">
        <v>67</v>
      </c>
      <c r="F289" t="s">
        <v>11</v>
      </c>
    </row>
    <row r="290" spans="2:6" x14ac:dyDescent="0.2">
      <c r="B290" t="s">
        <v>468</v>
      </c>
      <c r="C290" s="39">
        <v>39527</v>
      </c>
      <c r="D290" t="s">
        <v>59</v>
      </c>
      <c r="E290" t="s">
        <v>68</v>
      </c>
      <c r="F290" t="s">
        <v>11</v>
      </c>
    </row>
    <row r="291" spans="2:6" x14ac:dyDescent="0.2">
      <c r="B291" t="s">
        <v>164</v>
      </c>
      <c r="C291" s="39">
        <v>38814</v>
      </c>
      <c r="D291" t="s">
        <v>59</v>
      </c>
      <c r="E291" t="s">
        <v>19</v>
      </c>
      <c r="F291" t="s">
        <v>12</v>
      </c>
    </row>
    <row r="292" spans="2:6" x14ac:dyDescent="0.2">
      <c r="B292" t="s">
        <v>320</v>
      </c>
      <c r="C292" s="39">
        <v>36059</v>
      </c>
      <c r="D292" t="s">
        <v>66</v>
      </c>
      <c r="E292" t="s">
        <v>71</v>
      </c>
      <c r="F292" t="s">
        <v>12</v>
      </c>
    </row>
    <row r="293" spans="2:6" x14ac:dyDescent="0.2">
      <c r="B293" t="s">
        <v>165</v>
      </c>
      <c r="C293" s="39">
        <v>39243</v>
      </c>
      <c r="D293" t="s">
        <v>59</v>
      </c>
      <c r="E293" t="s">
        <v>67</v>
      </c>
      <c r="F293" t="s">
        <v>11</v>
      </c>
    </row>
    <row r="294" spans="2:6" x14ac:dyDescent="0.2">
      <c r="B294" t="s">
        <v>166</v>
      </c>
      <c r="C294" s="39">
        <v>37995</v>
      </c>
      <c r="D294" t="s">
        <v>59</v>
      </c>
      <c r="E294" t="s">
        <v>26</v>
      </c>
      <c r="F294" t="s">
        <v>11</v>
      </c>
    </row>
    <row r="295" spans="2:6" x14ac:dyDescent="0.2">
      <c r="B295" t="s">
        <v>167</v>
      </c>
      <c r="C295" s="39">
        <v>38128</v>
      </c>
      <c r="D295" t="s">
        <v>59</v>
      </c>
      <c r="E295" t="s">
        <v>75</v>
      </c>
      <c r="F295" t="s">
        <v>12</v>
      </c>
    </row>
    <row r="296" spans="2:6" x14ac:dyDescent="0.2">
      <c r="B296" t="s">
        <v>168</v>
      </c>
      <c r="C296" s="39">
        <v>39209</v>
      </c>
      <c r="D296" t="s">
        <v>59</v>
      </c>
      <c r="E296" t="s">
        <v>63</v>
      </c>
      <c r="F296" t="s">
        <v>12</v>
      </c>
    </row>
    <row r="297" spans="2:6" x14ac:dyDescent="0.2">
      <c r="B297" t="s">
        <v>169</v>
      </c>
      <c r="C297" s="39">
        <v>39100</v>
      </c>
      <c r="D297" t="s">
        <v>59</v>
      </c>
      <c r="E297" t="s">
        <v>415</v>
      </c>
      <c r="F297" t="s">
        <v>11</v>
      </c>
    </row>
    <row r="298" spans="2:6" x14ac:dyDescent="0.2">
      <c r="B298" t="s">
        <v>321</v>
      </c>
      <c r="C298" s="39">
        <v>38401</v>
      </c>
      <c r="D298" t="s">
        <v>66</v>
      </c>
      <c r="E298" t="s">
        <v>71</v>
      </c>
      <c r="F298" t="s">
        <v>12</v>
      </c>
    </row>
    <row r="299" spans="2:6" x14ac:dyDescent="0.2">
      <c r="B299" t="s">
        <v>544</v>
      </c>
      <c r="C299" s="39">
        <v>38661</v>
      </c>
      <c r="D299" t="s">
        <v>59</v>
      </c>
      <c r="E299" t="s">
        <v>465</v>
      </c>
      <c r="F299" t="s">
        <v>11</v>
      </c>
    </row>
    <row r="300" spans="2:6" x14ac:dyDescent="0.2">
      <c r="B300" t="s">
        <v>322</v>
      </c>
      <c r="C300" s="39">
        <v>39043</v>
      </c>
      <c r="D300" t="s">
        <v>59</v>
      </c>
      <c r="E300" t="s">
        <v>26</v>
      </c>
      <c r="F300" t="s">
        <v>12</v>
      </c>
    </row>
    <row r="301" spans="2:6" x14ac:dyDescent="0.2">
      <c r="B301" t="s">
        <v>170</v>
      </c>
      <c r="C301" s="39">
        <v>39749</v>
      </c>
      <c r="D301" t="s">
        <v>59</v>
      </c>
      <c r="E301" t="s">
        <v>19</v>
      </c>
      <c r="F301" t="s">
        <v>12</v>
      </c>
    </row>
    <row r="302" spans="2:6" x14ac:dyDescent="0.2">
      <c r="B302" t="s">
        <v>323</v>
      </c>
      <c r="C302" s="39">
        <v>39288</v>
      </c>
      <c r="D302" t="s">
        <v>469</v>
      </c>
      <c r="E302" t="s">
        <v>26</v>
      </c>
      <c r="F302" t="s">
        <v>11</v>
      </c>
    </row>
    <row r="303" spans="2:6" x14ac:dyDescent="0.2">
      <c r="B303" t="s">
        <v>171</v>
      </c>
      <c r="C303" s="39">
        <v>37849</v>
      </c>
      <c r="D303" t="s">
        <v>59</v>
      </c>
      <c r="E303" t="s">
        <v>406</v>
      </c>
      <c r="F303" t="s">
        <v>12</v>
      </c>
    </row>
    <row r="304" spans="2:6" x14ac:dyDescent="0.2">
      <c r="B304" t="s">
        <v>557</v>
      </c>
      <c r="C304" s="39">
        <v>39863</v>
      </c>
      <c r="D304" t="s">
        <v>59</v>
      </c>
      <c r="E304" t="s">
        <v>558</v>
      </c>
      <c r="F304" t="s">
        <v>11</v>
      </c>
    </row>
    <row r="305" spans="2:6" x14ac:dyDescent="0.2">
      <c r="B305" t="s">
        <v>172</v>
      </c>
      <c r="C305" s="39">
        <v>37203</v>
      </c>
      <c r="D305" t="s">
        <v>59</v>
      </c>
      <c r="E305" t="s">
        <v>26</v>
      </c>
      <c r="F305" t="s">
        <v>12</v>
      </c>
    </row>
    <row r="306" spans="2:6" x14ac:dyDescent="0.2">
      <c r="B306" t="s">
        <v>470</v>
      </c>
      <c r="C306" s="39">
        <v>38553</v>
      </c>
      <c r="D306" t="s">
        <v>59</v>
      </c>
      <c r="E306" t="s">
        <v>389</v>
      </c>
      <c r="F306" t="s">
        <v>11</v>
      </c>
    </row>
    <row r="307" spans="2:6" x14ac:dyDescent="0.2">
      <c r="B307" t="s">
        <v>324</v>
      </c>
      <c r="C307" s="39">
        <v>38179</v>
      </c>
      <c r="D307" t="s">
        <v>59</v>
      </c>
      <c r="E307" t="s">
        <v>26</v>
      </c>
      <c r="F307" t="s">
        <v>11</v>
      </c>
    </row>
    <row r="308" spans="2:6" x14ac:dyDescent="0.2">
      <c r="B308" t="s">
        <v>576</v>
      </c>
      <c r="C308" s="39">
        <v>38026</v>
      </c>
      <c r="D308" t="s">
        <v>44</v>
      </c>
      <c r="E308" t="s">
        <v>26</v>
      </c>
      <c r="F308" t="s">
        <v>11</v>
      </c>
    </row>
    <row r="309" spans="2:6" x14ac:dyDescent="0.2">
      <c r="B309" t="s">
        <v>565</v>
      </c>
      <c r="C309" s="39">
        <v>40158</v>
      </c>
      <c r="D309" t="s">
        <v>59</v>
      </c>
      <c r="E309" t="s">
        <v>26</v>
      </c>
      <c r="F309" t="s">
        <v>11</v>
      </c>
    </row>
    <row r="310" spans="2:6" x14ac:dyDescent="0.2">
      <c r="B310" t="s">
        <v>471</v>
      </c>
      <c r="C310" s="39">
        <v>38933</v>
      </c>
      <c r="D310" t="s">
        <v>59</v>
      </c>
      <c r="E310" t="s">
        <v>67</v>
      </c>
      <c r="F310" t="s">
        <v>12</v>
      </c>
    </row>
    <row r="311" spans="2:6" x14ac:dyDescent="0.2">
      <c r="B311" t="s">
        <v>472</v>
      </c>
      <c r="C311" s="39">
        <v>38031</v>
      </c>
      <c r="D311" t="s">
        <v>59</v>
      </c>
      <c r="E311" t="s">
        <v>406</v>
      </c>
      <c r="F311" t="s">
        <v>12</v>
      </c>
    </row>
    <row r="312" spans="2:6" x14ac:dyDescent="0.2">
      <c r="B312" t="s">
        <v>473</v>
      </c>
      <c r="C312" s="39">
        <v>38642</v>
      </c>
      <c r="D312" t="s">
        <v>59</v>
      </c>
      <c r="E312" t="s">
        <v>406</v>
      </c>
      <c r="F312" t="s">
        <v>11</v>
      </c>
    </row>
    <row r="313" spans="2:6" x14ac:dyDescent="0.2">
      <c r="B313" t="s">
        <v>262</v>
      </c>
      <c r="C313" s="39">
        <v>37257</v>
      </c>
      <c r="D313" t="s">
        <v>24</v>
      </c>
      <c r="E313" t="s">
        <v>26</v>
      </c>
      <c r="F313" t="s">
        <v>12</v>
      </c>
    </row>
    <row r="314" spans="2:6" x14ac:dyDescent="0.2">
      <c r="B314" t="s">
        <v>474</v>
      </c>
      <c r="C314" s="39">
        <v>39089</v>
      </c>
      <c r="D314" t="s">
        <v>59</v>
      </c>
      <c r="E314" t="s">
        <v>406</v>
      </c>
      <c r="F314" t="s">
        <v>11</v>
      </c>
    </row>
    <row r="315" spans="2:6" x14ac:dyDescent="0.2">
      <c r="B315" t="s">
        <v>173</v>
      </c>
      <c r="C315" s="39">
        <v>39133</v>
      </c>
      <c r="D315" t="s">
        <v>76</v>
      </c>
      <c r="E315" t="s">
        <v>77</v>
      </c>
      <c r="F315" t="s">
        <v>11</v>
      </c>
    </row>
    <row r="316" spans="2:6" x14ac:dyDescent="0.2">
      <c r="B316" t="s">
        <v>385</v>
      </c>
      <c r="C316" s="39">
        <v>39315</v>
      </c>
      <c r="D316" t="s">
        <v>59</v>
      </c>
      <c r="E316" t="s">
        <v>26</v>
      </c>
      <c r="F316" t="s">
        <v>11</v>
      </c>
    </row>
    <row r="317" spans="2:6" x14ac:dyDescent="0.2">
      <c r="B317" t="s">
        <v>475</v>
      </c>
      <c r="C317" s="39">
        <v>35662</v>
      </c>
      <c r="D317" t="s">
        <v>36</v>
      </c>
      <c r="E317" t="s">
        <v>22</v>
      </c>
      <c r="F317" t="s">
        <v>11</v>
      </c>
    </row>
    <row r="318" spans="2:6" x14ac:dyDescent="0.2">
      <c r="B318" t="s">
        <v>417</v>
      </c>
      <c r="C318" s="39">
        <v>36868</v>
      </c>
      <c r="D318" t="s">
        <v>59</v>
      </c>
      <c r="E318" t="s">
        <v>415</v>
      </c>
      <c r="F318" t="s">
        <v>12</v>
      </c>
    </row>
    <row r="319" spans="2:6" x14ac:dyDescent="0.2">
      <c r="B319" t="s">
        <v>174</v>
      </c>
      <c r="C319" s="39">
        <v>38550</v>
      </c>
      <c r="D319" t="s">
        <v>59</v>
      </c>
      <c r="E319" t="s">
        <v>415</v>
      </c>
      <c r="F319" t="s">
        <v>12</v>
      </c>
    </row>
    <row r="320" spans="2:6" x14ac:dyDescent="0.2">
      <c r="B320" t="s">
        <v>325</v>
      </c>
      <c r="C320" s="39">
        <v>38796</v>
      </c>
      <c r="D320" t="s">
        <v>59</v>
      </c>
      <c r="E320" t="s">
        <v>67</v>
      </c>
      <c r="F320" t="s">
        <v>11</v>
      </c>
    </row>
    <row r="321" spans="2:6" x14ac:dyDescent="0.2">
      <c r="B321" t="s">
        <v>175</v>
      </c>
      <c r="C321" s="39">
        <v>39555</v>
      </c>
      <c r="D321" t="s">
        <v>76</v>
      </c>
      <c r="E321" t="s">
        <v>77</v>
      </c>
      <c r="F321" t="s">
        <v>12</v>
      </c>
    </row>
    <row r="322" spans="2:6" x14ac:dyDescent="0.2">
      <c r="B322" t="s">
        <v>176</v>
      </c>
      <c r="C322" s="39">
        <v>37976</v>
      </c>
      <c r="D322" t="s">
        <v>76</v>
      </c>
      <c r="E322" t="s">
        <v>77</v>
      </c>
      <c r="F322" t="s">
        <v>11</v>
      </c>
    </row>
    <row r="323" spans="2:6" x14ac:dyDescent="0.2">
      <c r="B323" t="s">
        <v>177</v>
      </c>
      <c r="C323" s="39">
        <v>37896</v>
      </c>
      <c r="D323" t="s">
        <v>59</v>
      </c>
      <c r="E323" t="s">
        <v>26</v>
      </c>
      <c r="F323" t="s">
        <v>11</v>
      </c>
    </row>
    <row r="324" spans="2:6" x14ac:dyDescent="0.2">
      <c r="B324" t="s">
        <v>569</v>
      </c>
      <c r="C324" s="39">
        <v>37057</v>
      </c>
      <c r="D324" t="s">
        <v>59</v>
      </c>
      <c r="E324" t="s">
        <v>65</v>
      </c>
      <c r="F324" t="s">
        <v>11</v>
      </c>
    </row>
    <row r="325" spans="2:6" x14ac:dyDescent="0.2">
      <c r="B325" t="s">
        <v>570</v>
      </c>
      <c r="C325" s="39">
        <v>37999</v>
      </c>
      <c r="D325" t="s">
        <v>59</v>
      </c>
      <c r="E325" t="s">
        <v>65</v>
      </c>
      <c r="F325" t="s">
        <v>11</v>
      </c>
    </row>
    <row r="326" spans="2:6" x14ac:dyDescent="0.2">
      <c r="B326" t="s">
        <v>476</v>
      </c>
      <c r="C326" s="39">
        <v>36175</v>
      </c>
      <c r="D326" t="s">
        <v>24</v>
      </c>
      <c r="E326" t="s">
        <v>26</v>
      </c>
      <c r="F326" t="s">
        <v>12</v>
      </c>
    </row>
    <row r="327" spans="2:6" x14ac:dyDescent="0.2">
      <c r="B327" t="s">
        <v>533</v>
      </c>
      <c r="C327" s="39">
        <v>40089</v>
      </c>
      <c r="D327" t="s">
        <v>59</v>
      </c>
      <c r="E327" t="s">
        <v>67</v>
      </c>
      <c r="F327" t="s">
        <v>12</v>
      </c>
    </row>
    <row r="328" spans="2:6" x14ac:dyDescent="0.2">
      <c r="B328" t="s">
        <v>178</v>
      </c>
      <c r="C328" s="39">
        <v>38029</v>
      </c>
      <c r="D328" t="s">
        <v>59</v>
      </c>
      <c r="E328" t="s">
        <v>68</v>
      </c>
      <c r="F328" t="s">
        <v>12</v>
      </c>
    </row>
    <row r="329" spans="2:6" x14ac:dyDescent="0.2">
      <c r="B329" t="s">
        <v>326</v>
      </c>
      <c r="C329" s="39">
        <v>39313</v>
      </c>
      <c r="D329" t="s">
        <v>59</v>
      </c>
      <c r="E329" t="s">
        <v>67</v>
      </c>
      <c r="F329" t="s">
        <v>11</v>
      </c>
    </row>
    <row r="330" spans="2:6" x14ac:dyDescent="0.2">
      <c r="B330" t="s">
        <v>179</v>
      </c>
      <c r="C330" s="39">
        <v>38502</v>
      </c>
      <c r="D330" t="s">
        <v>59</v>
      </c>
      <c r="E330" t="s">
        <v>63</v>
      </c>
      <c r="F330" t="s">
        <v>11</v>
      </c>
    </row>
    <row r="331" spans="2:6" x14ac:dyDescent="0.2">
      <c r="B331" t="s">
        <v>57</v>
      </c>
      <c r="C331" s="39">
        <v>36950</v>
      </c>
      <c r="D331" t="s">
        <v>24</v>
      </c>
      <c r="E331" t="s">
        <v>23</v>
      </c>
      <c r="F331" t="s">
        <v>12</v>
      </c>
    </row>
    <row r="332" spans="2:6" x14ac:dyDescent="0.2">
      <c r="B332" t="s">
        <v>180</v>
      </c>
      <c r="C332" s="39">
        <v>38810</v>
      </c>
      <c r="D332" t="s">
        <v>59</v>
      </c>
      <c r="E332" t="s">
        <v>26</v>
      </c>
      <c r="F332" t="s">
        <v>12</v>
      </c>
    </row>
    <row r="333" spans="2:6" x14ac:dyDescent="0.2">
      <c r="B333" t="s">
        <v>327</v>
      </c>
      <c r="C333" s="39">
        <v>37881</v>
      </c>
      <c r="D333" t="s">
        <v>59</v>
      </c>
      <c r="E333" t="s">
        <v>67</v>
      </c>
      <c r="F333" t="s">
        <v>11</v>
      </c>
    </row>
    <row r="334" spans="2:6" x14ac:dyDescent="0.2">
      <c r="B334" t="s">
        <v>568</v>
      </c>
      <c r="C334" s="39">
        <v>39190</v>
      </c>
      <c r="D334" t="s">
        <v>59</v>
      </c>
      <c r="E334" t="s">
        <v>68</v>
      </c>
      <c r="F334" t="s">
        <v>11</v>
      </c>
    </row>
    <row r="335" spans="2:6" x14ac:dyDescent="0.2">
      <c r="B335" t="s">
        <v>529</v>
      </c>
      <c r="C335" s="39">
        <v>39223</v>
      </c>
      <c r="D335" t="s">
        <v>59</v>
      </c>
      <c r="E335" t="s">
        <v>67</v>
      </c>
      <c r="F335" t="s">
        <v>11</v>
      </c>
    </row>
    <row r="336" spans="2:6" x14ac:dyDescent="0.2">
      <c r="B336" t="s">
        <v>181</v>
      </c>
      <c r="C336" s="39">
        <v>38827</v>
      </c>
      <c r="D336" t="s">
        <v>61</v>
      </c>
      <c r="E336" t="s">
        <v>420</v>
      </c>
      <c r="F336" t="s">
        <v>12</v>
      </c>
    </row>
    <row r="337" spans="2:6" x14ac:dyDescent="0.2">
      <c r="B337" t="s">
        <v>477</v>
      </c>
      <c r="C337" s="39">
        <v>38944</v>
      </c>
      <c r="D337" t="s">
        <v>59</v>
      </c>
      <c r="E337" t="s">
        <v>415</v>
      </c>
      <c r="F337" t="s">
        <v>11</v>
      </c>
    </row>
    <row r="338" spans="2:6" x14ac:dyDescent="0.2">
      <c r="B338" t="s">
        <v>541</v>
      </c>
      <c r="C338" s="39">
        <v>37167</v>
      </c>
      <c r="D338" t="s">
        <v>59</v>
      </c>
      <c r="E338" t="s">
        <v>465</v>
      </c>
      <c r="F338" t="s">
        <v>12</v>
      </c>
    </row>
    <row r="339" spans="2:6" x14ac:dyDescent="0.2">
      <c r="B339" t="s">
        <v>552</v>
      </c>
      <c r="C339" s="39">
        <v>38185</v>
      </c>
      <c r="D339" t="s">
        <v>59</v>
      </c>
      <c r="E339" t="s">
        <v>19</v>
      </c>
      <c r="F339" t="s">
        <v>12</v>
      </c>
    </row>
    <row r="340" spans="2:6" x14ac:dyDescent="0.2">
      <c r="B340" t="s">
        <v>551</v>
      </c>
      <c r="C340" s="39">
        <v>38990</v>
      </c>
      <c r="D340" t="s">
        <v>59</v>
      </c>
      <c r="E340" t="s">
        <v>19</v>
      </c>
      <c r="F340" t="s">
        <v>12</v>
      </c>
    </row>
    <row r="341" spans="2:6" x14ac:dyDescent="0.2">
      <c r="B341" t="s">
        <v>587</v>
      </c>
      <c r="C341" s="39">
        <v>38578</v>
      </c>
      <c r="D341" t="s">
        <v>24</v>
      </c>
      <c r="E341" t="s">
        <v>26</v>
      </c>
      <c r="F341" t="s">
        <v>11</v>
      </c>
    </row>
    <row r="342" spans="2:6" x14ac:dyDescent="0.2">
      <c r="B342" t="s">
        <v>328</v>
      </c>
      <c r="C342" s="39">
        <v>39229</v>
      </c>
      <c r="D342" t="s">
        <v>59</v>
      </c>
      <c r="E342" t="s">
        <v>26</v>
      </c>
      <c r="F342" t="s">
        <v>12</v>
      </c>
    </row>
    <row r="343" spans="2:6" x14ac:dyDescent="0.2">
      <c r="B343" t="s">
        <v>329</v>
      </c>
      <c r="C343" s="39">
        <v>38422</v>
      </c>
      <c r="D343" t="s">
        <v>59</v>
      </c>
      <c r="E343" t="s">
        <v>65</v>
      </c>
      <c r="F343" t="s">
        <v>11</v>
      </c>
    </row>
    <row r="344" spans="2:6" x14ac:dyDescent="0.2">
      <c r="B344" t="s">
        <v>520</v>
      </c>
      <c r="C344" s="39">
        <v>37134</v>
      </c>
      <c r="D344" t="s">
        <v>59</v>
      </c>
      <c r="E344" t="s">
        <v>406</v>
      </c>
      <c r="F344" t="s">
        <v>12</v>
      </c>
    </row>
    <row r="345" spans="2:6" x14ac:dyDescent="0.2">
      <c r="B345" t="s">
        <v>589</v>
      </c>
      <c r="C345" s="39">
        <v>40112</v>
      </c>
      <c r="D345" t="s">
        <v>24</v>
      </c>
      <c r="E345" t="s">
        <v>26</v>
      </c>
      <c r="F345" t="s">
        <v>12</v>
      </c>
    </row>
    <row r="346" spans="2:6" x14ac:dyDescent="0.2">
      <c r="B346" t="s">
        <v>330</v>
      </c>
      <c r="C346" s="39">
        <v>39268</v>
      </c>
      <c r="D346" t="s">
        <v>59</v>
      </c>
      <c r="E346" t="s">
        <v>26</v>
      </c>
      <c r="F346" t="s">
        <v>11</v>
      </c>
    </row>
    <row r="347" spans="2:6" x14ac:dyDescent="0.2">
      <c r="B347" t="s">
        <v>527</v>
      </c>
      <c r="C347" s="39">
        <v>39734</v>
      </c>
      <c r="D347" t="s">
        <v>59</v>
      </c>
      <c r="E347" t="s">
        <v>65</v>
      </c>
      <c r="F347" t="s">
        <v>11</v>
      </c>
    </row>
    <row r="348" spans="2:6" x14ac:dyDescent="0.2">
      <c r="B348" t="s">
        <v>478</v>
      </c>
      <c r="C348" s="39">
        <v>39116</v>
      </c>
      <c r="D348" t="s">
        <v>59</v>
      </c>
      <c r="E348" t="s">
        <v>68</v>
      </c>
      <c r="F348" t="s">
        <v>11</v>
      </c>
    </row>
    <row r="349" spans="2:6" x14ac:dyDescent="0.2">
      <c r="B349" t="s">
        <v>182</v>
      </c>
      <c r="C349" s="39">
        <v>38588</v>
      </c>
      <c r="D349" t="s">
        <v>59</v>
      </c>
      <c r="E349" t="s">
        <v>415</v>
      </c>
      <c r="F349" t="s">
        <v>12</v>
      </c>
    </row>
    <row r="350" spans="2:6" x14ac:dyDescent="0.2">
      <c r="B350" t="s">
        <v>183</v>
      </c>
      <c r="C350" s="39">
        <v>37299</v>
      </c>
      <c r="D350" t="s">
        <v>59</v>
      </c>
      <c r="E350" t="s">
        <v>415</v>
      </c>
      <c r="F350" t="s">
        <v>11</v>
      </c>
    </row>
    <row r="351" spans="2:6" x14ac:dyDescent="0.2">
      <c r="B351" t="s">
        <v>375</v>
      </c>
      <c r="C351" s="39">
        <v>38648</v>
      </c>
      <c r="D351" t="s">
        <v>59</v>
      </c>
      <c r="E351" t="s">
        <v>67</v>
      </c>
      <c r="F351" t="s">
        <v>12</v>
      </c>
    </row>
    <row r="352" spans="2:6" x14ac:dyDescent="0.2">
      <c r="B352" t="s">
        <v>383</v>
      </c>
      <c r="C352" s="39">
        <v>38531</v>
      </c>
      <c r="D352" t="s">
        <v>59</v>
      </c>
      <c r="E352" t="s">
        <v>65</v>
      </c>
      <c r="F352" t="s">
        <v>11</v>
      </c>
    </row>
    <row r="353" spans="2:6" x14ac:dyDescent="0.2">
      <c r="B353" t="s">
        <v>184</v>
      </c>
      <c r="C353" s="39">
        <v>38235</v>
      </c>
      <c r="D353" t="s">
        <v>59</v>
      </c>
      <c r="E353" t="s">
        <v>26</v>
      </c>
      <c r="F353" t="s">
        <v>11</v>
      </c>
    </row>
    <row r="354" spans="2:6" x14ac:dyDescent="0.2">
      <c r="B354" t="s">
        <v>185</v>
      </c>
      <c r="C354" s="39">
        <v>37939</v>
      </c>
      <c r="D354" t="s">
        <v>59</v>
      </c>
      <c r="E354" t="s">
        <v>19</v>
      </c>
      <c r="F354" t="s">
        <v>11</v>
      </c>
    </row>
    <row r="355" spans="2:6" x14ac:dyDescent="0.2">
      <c r="B355" t="s">
        <v>331</v>
      </c>
      <c r="C355" s="39">
        <v>39565</v>
      </c>
      <c r="D355" t="s">
        <v>59</v>
      </c>
      <c r="E355" t="s">
        <v>19</v>
      </c>
      <c r="F355" t="s">
        <v>12</v>
      </c>
    </row>
    <row r="356" spans="2:6" x14ac:dyDescent="0.2">
      <c r="B356" t="s">
        <v>187</v>
      </c>
      <c r="C356" s="39">
        <v>39017</v>
      </c>
      <c r="D356" t="s">
        <v>59</v>
      </c>
      <c r="E356" t="s">
        <v>75</v>
      </c>
      <c r="F356" t="s">
        <v>11</v>
      </c>
    </row>
    <row r="357" spans="2:6" x14ac:dyDescent="0.2">
      <c r="B357" t="s">
        <v>186</v>
      </c>
      <c r="C357" s="39">
        <v>37891</v>
      </c>
      <c r="D357" t="s">
        <v>59</v>
      </c>
      <c r="E357" t="s">
        <v>75</v>
      </c>
      <c r="F357" t="s">
        <v>11</v>
      </c>
    </row>
    <row r="358" spans="2:6" x14ac:dyDescent="0.2">
      <c r="B358" t="s">
        <v>263</v>
      </c>
      <c r="C358" s="39">
        <v>37987</v>
      </c>
      <c r="D358" t="s">
        <v>24</v>
      </c>
      <c r="E358" t="s">
        <v>572</v>
      </c>
      <c r="F358" t="s">
        <v>12</v>
      </c>
    </row>
    <row r="359" spans="2:6" x14ac:dyDescent="0.2">
      <c r="B359" t="s">
        <v>561</v>
      </c>
      <c r="C359" s="39">
        <v>41749</v>
      </c>
      <c r="D359" t="s">
        <v>59</v>
      </c>
      <c r="E359" t="s">
        <v>65</v>
      </c>
      <c r="F359" t="s">
        <v>11</v>
      </c>
    </row>
    <row r="360" spans="2:6" x14ac:dyDescent="0.2">
      <c r="B360" t="s">
        <v>188</v>
      </c>
      <c r="C360" s="39">
        <v>38097</v>
      </c>
      <c r="D360" t="s">
        <v>78</v>
      </c>
      <c r="E360" t="s">
        <v>459</v>
      </c>
      <c r="F360" t="s">
        <v>11</v>
      </c>
    </row>
    <row r="361" spans="2:6" x14ac:dyDescent="0.2">
      <c r="B361" t="s">
        <v>372</v>
      </c>
      <c r="C361" s="39">
        <v>39744</v>
      </c>
      <c r="D361" t="s">
        <v>59</v>
      </c>
      <c r="E361" t="s">
        <v>26</v>
      </c>
      <c r="F361" t="s">
        <v>12</v>
      </c>
    </row>
    <row r="362" spans="2:6" x14ac:dyDescent="0.2">
      <c r="B362" t="s">
        <v>189</v>
      </c>
      <c r="C362" s="39">
        <v>39019</v>
      </c>
      <c r="D362" t="s">
        <v>59</v>
      </c>
      <c r="E362" t="s">
        <v>26</v>
      </c>
      <c r="F362" t="s">
        <v>12</v>
      </c>
    </row>
    <row r="363" spans="2:6" x14ac:dyDescent="0.2">
      <c r="B363" t="s">
        <v>332</v>
      </c>
      <c r="C363" s="39">
        <v>37120</v>
      </c>
      <c r="D363" t="s">
        <v>59</v>
      </c>
      <c r="E363" t="s">
        <v>67</v>
      </c>
      <c r="F363" t="s">
        <v>11</v>
      </c>
    </row>
    <row r="364" spans="2:6" x14ac:dyDescent="0.2">
      <c r="B364" t="s">
        <v>51</v>
      </c>
      <c r="C364" s="39">
        <v>39874</v>
      </c>
      <c r="D364" t="s">
        <v>426</v>
      </c>
      <c r="E364" t="s">
        <v>50</v>
      </c>
      <c r="F364" t="s">
        <v>12</v>
      </c>
    </row>
    <row r="365" spans="2:6" x14ac:dyDescent="0.2">
      <c r="B365" t="s">
        <v>333</v>
      </c>
      <c r="C365" s="39">
        <v>38031</v>
      </c>
      <c r="D365" t="s">
        <v>59</v>
      </c>
      <c r="E365" t="s">
        <v>406</v>
      </c>
      <c r="F365" t="s">
        <v>11</v>
      </c>
    </row>
    <row r="366" spans="2:6" x14ac:dyDescent="0.2">
      <c r="B366" t="s">
        <v>408</v>
      </c>
      <c r="C366" s="39">
        <v>37237</v>
      </c>
      <c r="D366" t="s">
        <v>59</v>
      </c>
      <c r="E366" t="s">
        <v>26</v>
      </c>
      <c r="F366" t="s">
        <v>12</v>
      </c>
    </row>
    <row r="367" spans="2:6" x14ac:dyDescent="0.2">
      <c r="B367" t="s">
        <v>334</v>
      </c>
      <c r="C367" s="39">
        <v>38101</v>
      </c>
      <c r="D367" t="s">
        <v>66</v>
      </c>
      <c r="E367" t="s">
        <v>71</v>
      </c>
      <c r="F367" t="s">
        <v>11</v>
      </c>
    </row>
    <row r="368" spans="2:6" x14ac:dyDescent="0.2">
      <c r="B368" t="s">
        <v>479</v>
      </c>
      <c r="C368" s="39">
        <v>36712</v>
      </c>
      <c r="D368" t="s">
        <v>24</v>
      </c>
      <c r="E368" t="s">
        <v>26</v>
      </c>
      <c r="F368" t="s">
        <v>12</v>
      </c>
    </row>
    <row r="369" spans="2:6" x14ac:dyDescent="0.2">
      <c r="B369" t="s">
        <v>517</v>
      </c>
      <c r="C369" s="39">
        <v>38840</v>
      </c>
      <c r="D369" t="s">
        <v>59</v>
      </c>
      <c r="E369" t="s">
        <v>67</v>
      </c>
      <c r="F369" t="s">
        <v>11</v>
      </c>
    </row>
    <row r="370" spans="2:6" x14ac:dyDescent="0.2">
      <c r="B370" t="s">
        <v>190</v>
      </c>
      <c r="C370" s="39">
        <v>38840</v>
      </c>
      <c r="D370" t="s">
        <v>59</v>
      </c>
      <c r="E370" t="s">
        <v>73</v>
      </c>
      <c r="F370" t="s">
        <v>11</v>
      </c>
    </row>
    <row r="371" spans="2:6" x14ac:dyDescent="0.2">
      <c r="B371" t="s">
        <v>191</v>
      </c>
      <c r="C371" s="39">
        <v>37987</v>
      </c>
      <c r="D371" t="s">
        <v>480</v>
      </c>
      <c r="E371" t="s">
        <v>67</v>
      </c>
      <c r="F371" t="s">
        <v>12</v>
      </c>
    </row>
    <row r="372" spans="2:6" x14ac:dyDescent="0.2">
      <c r="B372" t="s">
        <v>335</v>
      </c>
      <c r="C372" s="39">
        <v>39290</v>
      </c>
      <c r="D372" t="s">
        <v>59</v>
      </c>
      <c r="E372" t="s">
        <v>481</v>
      </c>
      <c r="F372" t="s">
        <v>12</v>
      </c>
    </row>
    <row r="373" spans="2:6" x14ac:dyDescent="0.2">
      <c r="B373" t="s">
        <v>192</v>
      </c>
      <c r="C373" s="39">
        <v>39394</v>
      </c>
      <c r="D373" t="s">
        <v>59</v>
      </c>
      <c r="E373" t="s">
        <v>406</v>
      </c>
      <c r="F373" t="s">
        <v>12</v>
      </c>
    </row>
    <row r="374" spans="2:6" x14ac:dyDescent="0.2">
      <c r="B374" t="s">
        <v>193</v>
      </c>
      <c r="C374" s="39">
        <v>39717</v>
      </c>
      <c r="D374" t="s">
        <v>59</v>
      </c>
      <c r="E374" t="s">
        <v>68</v>
      </c>
      <c r="F374" t="s">
        <v>11</v>
      </c>
    </row>
    <row r="375" spans="2:6" x14ac:dyDescent="0.2">
      <c r="B375" t="s">
        <v>336</v>
      </c>
      <c r="C375" s="39">
        <v>38387</v>
      </c>
      <c r="D375" t="s">
        <v>59</v>
      </c>
      <c r="E375" t="s">
        <v>26</v>
      </c>
      <c r="F375" t="s">
        <v>11</v>
      </c>
    </row>
    <row r="376" spans="2:6" x14ac:dyDescent="0.2">
      <c r="B376" t="s">
        <v>194</v>
      </c>
      <c r="C376" s="39">
        <v>39179</v>
      </c>
      <c r="D376" t="s">
        <v>59</v>
      </c>
      <c r="E376" t="s">
        <v>415</v>
      </c>
      <c r="F376" t="s">
        <v>12</v>
      </c>
    </row>
    <row r="377" spans="2:6" x14ac:dyDescent="0.2">
      <c r="B377" t="s">
        <v>233</v>
      </c>
      <c r="C377" s="39">
        <v>38684</v>
      </c>
      <c r="D377" t="s">
        <v>59</v>
      </c>
      <c r="E377" t="s">
        <v>63</v>
      </c>
      <c r="F377" t="s">
        <v>11</v>
      </c>
    </row>
    <row r="378" spans="2:6" x14ac:dyDescent="0.2">
      <c r="B378" t="s">
        <v>195</v>
      </c>
      <c r="C378" s="39">
        <v>37625</v>
      </c>
      <c r="D378" t="s">
        <v>59</v>
      </c>
      <c r="E378" t="s">
        <v>63</v>
      </c>
      <c r="F378" t="s">
        <v>11</v>
      </c>
    </row>
    <row r="380" spans="2:6" x14ac:dyDescent="0.2">
      <c r="B380" t="s">
        <v>482</v>
      </c>
      <c r="C380" s="39">
        <v>39084</v>
      </c>
      <c r="D380" t="s">
        <v>24</v>
      </c>
      <c r="E380" t="s">
        <v>572</v>
      </c>
      <c r="F380" t="s">
        <v>12</v>
      </c>
    </row>
    <row r="381" spans="2:6" x14ac:dyDescent="0.2">
      <c r="B381" t="s">
        <v>535</v>
      </c>
      <c r="C381" s="39">
        <v>38635</v>
      </c>
      <c r="D381" t="s">
        <v>59</v>
      </c>
      <c r="E381" t="s">
        <v>406</v>
      </c>
      <c r="F381" t="s">
        <v>12</v>
      </c>
    </row>
    <row r="382" spans="2:6" x14ac:dyDescent="0.2">
      <c r="B382" t="s">
        <v>337</v>
      </c>
      <c r="C382" s="39">
        <v>37989</v>
      </c>
      <c r="D382" t="s">
        <v>59</v>
      </c>
      <c r="E382" t="s">
        <v>26</v>
      </c>
      <c r="F382" t="s">
        <v>12</v>
      </c>
    </row>
    <row r="383" spans="2:6" x14ac:dyDescent="0.2">
      <c r="B383" t="s">
        <v>196</v>
      </c>
      <c r="C383" s="39">
        <v>37655</v>
      </c>
      <c r="D383" t="s">
        <v>66</v>
      </c>
      <c r="E383" t="s">
        <v>71</v>
      </c>
      <c r="F383" t="s">
        <v>12</v>
      </c>
    </row>
    <row r="384" spans="2:6" x14ac:dyDescent="0.2">
      <c r="B384" t="s">
        <v>197</v>
      </c>
      <c r="C384" s="39">
        <v>37655</v>
      </c>
      <c r="D384" t="s">
        <v>66</v>
      </c>
      <c r="E384" t="s">
        <v>71</v>
      </c>
      <c r="F384" t="s">
        <v>11</v>
      </c>
    </row>
    <row r="385" spans="2:6" x14ac:dyDescent="0.2">
      <c r="B385" t="s">
        <v>523</v>
      </c>
      <c r="C385" s="39">
        <v>38259</v>
      </c>
      <c r="D385" t="s">
        <v>59</v>
      </c>
      <c r="E385" t="s">
        <v>406</v>
      </c>
      <c r="F385" t="s">
        <v>11</v>
      </c>
    </row>
    <row r="386" spans="2:6" x14ac:dyDescent="0.2">
      <c r="B386" t="s">
        <v>521</v>
      </c>
      <c r="C386" s="39">
        <v>36705</v>
      </c>
      <c r="D386" t="s">
        <v>59</v>
      </c>
      <c r="E386" t="s">
        <v>406</v>
      </c>
      <c r="F386" t="s">
        <v>12</v>
      </c>
    </row>
    <row r="387" spans="2:6" x14ac:dyDescent="0.2">
      <c r="B387" t="s">
        <v>543</v>
      </c>
      <c r="C387" s="39">
        <v>39145</v>
      </c>
      <c r="D387" t="s">
        <v>59</v>
      </c>
      <c r="E387" t="s">
        <v>465</v>
      </c>
      <c r="F387" t="s">
        <v>12</v>
      </c>
    </row>
    <row r="388" spans="2:6" x14ac:dyDescent="0.2">
      <c r="B388" t="s">
        <v>374</v>
      </c>
      <c r="C388" s="39">
        <v>39693</v>
      </c>
      <c r="D388" t="s">
        <v>59</v>
      </c>
      <c r="E388" t="s">
        <v>415</v>
      </c>
      <c r="F388" t="s">
        <v>11</v>
      </c>
    </row>
    <row r="389" spans="2:6" x14ac:dyDescent="0.2">
      <c r="B389" t="s">
        <v>483</v>
      </c>
      <c r="C389" s="39">
        <v>38486</v>
      </c>
      <c r="D389" t="s">
        <v>59</v>
      </c>
      <c r="E389" t="s">
        <v>406</v>
      </c>
      <c r="F389" t="s">
        <v>11</v>
      </c>
    </row>
    <row r="390" spans="2:6" x14ac:dyDescent="0.2">
      <c r="B390" t="s">
        <v>198</v>
      </c>
      <c r="C390" s="39">
        <v>39318</v>
      </c>
      <c r="D390" t="s">
        <v>59</v>
      </c>
      <c r="E390" t="s">
        <v>415</v>
      </c>
      <c r="F390" t="s">
        <v>11</v>
      </c>
    </row>
    <row r="391" spans="2:6" x14ac:dyDescent="0.2">
      <c r="B391" t="s">
        <v>264</v>
      </c>
      <c r="C391" s="39">
        <v>38353</v>
      </c>
      <c r="D391" t="s">
        <v>24</v>
      </c>
      <c r="E391" t="s">
        <v>26</v>
      </c>
      <c r="F391" t="s">
        <v>12</v>
      </c>
    </row>
    <row r="392" spans="2:6" x14ac:dyDescent="0.2">
      <c r="B392" t="s">
        <v>556</v>
      </c>
      <c r="C392" s="39">
        <v>40021</v>
      </c>
      <c r="D392" t="s">
        <v>59</v>
      </c>
      <c r="E392" t="s">
        <v>465</v>
      </c>
      <c r="F392" t="s">
        <v>11</v>
      </c>
    </row>
    <row r="393" spans="2:6" x14ac:dyDescent="0.2">
      <c r="B393" t="s">
        <v>554</v>
      </c>
      <c r="C393" s="39">
        <v>39051</v>
      </c>
      <c r="D393" t="s">
        <v>59</v>
      </c>
      <c r="E393" t="s">
        <v>415</v>
      </c>
      <c r="F393" t="s">
        <v>11</v>
      </c>
    </row>
    <row r="394" spans="2:6" x14ac:dyDescent="0.2">
      <c r="B394" t="s">
        <v>338</v>
      </c>
      <c r="C394" s="39">
        <v>38767</v>
      </c>
      <c r="D394" t="s">
        <v>59</v>
      </c>
      <c r="E394" t="s">
        <v>67</v>
      </c>
      <c r="F394" t="s">
        <v>11</v>
      </c>
    </row>
    <row r="395" spans="2:6" x14ac:dyDescent="0.2">
      <c r="B395" t="s">
        <v>199</v>
      </c>
      <c r="C395" s="39">
        <v>38590</v>
      </c>
      <c r="D395" t="s">
        <v>59</v>
      </c>
      <c r="E395" t="s">
        <v>19</v>
      </c>
      <c r="F395" t="s">
        <v>12</v>
      </c>
    </row>
    <row r="396" spans="2:6" x14ac:dyDescent="0.2">
      <c r="B396" t="s">
        <v>484</v>
      </c>
      <c r="C396" s="39">
        <v>39329</v>
      </c>
      <c r="D396" t="s">
        <v>59</v>
      </c>
      <c r="E396" t="s">
        <v>485</v>
      </c>
      <c r="F396" t="s">
        <v>11</v>
      </c>
    </row>
    <row r="397" spans="2:6" x14ac:dyDescent="0.2">
      <c r="B397" t="s">
        <v>200</v>
      </c>
      <c r="C397" s="39">
        <v>37862</v>
      </c>
      <c r="D397" t="s">
        <v>66</v>
      </c>
      <c r="E397" t="s">
        <v>71</v>
      </c>
      <c r="F397" t="s">
        <v>11</v>
      </c>
    </row>
    <row r="398" spans="2:6" x14ac:dyDescent="0.2">
      <c r="B398" t="s">
        <v>339</v>
      </c>
      <c r="C398" s="39">
        <v>38376</v>
      </c>
      <c r="D398" t="s">
        <v>59</v>
      </c>
      <c r="E398" t="s">
        <v>26</v>
      </c>
      <c r="F398" t="s">
        <v>11</v>
      </c>
    </row>
    <row r="399" spans="2:6" x14ac:dyDescent="0.2">
      <c r="B399" t="s">
        <v>201</v>
      </c>
      <c r="C399" s="39">
        <v>38641</v>
      </c>
      <c r="D399" t="s">
        <v>59</v>
      </c>
      <c r="E399" t="s">
        <v>415</v>
      </c>
      <c r="F399" t="s">
        <v>12</v>
      </c>
    </row>
    <row r="400" spans="2:6" x14ac:dyDescent="0.2">
      <c r="B400" t="s">
        <v>202</v>
      </c>
      <c r="C400" s="39">
        <v>38379</v>
      </c>
      <c r="D400" t="s">
        <v>59</v>
      </c>
      <c r="E400" t="s">
        <v>68</v>
      </c>
      <c r="F400" t="s">
        <v>11</v>
      </c>
    </row>
    <row r="401" spans="2:6" x14ac:dyDescent="0.2">
      <c r="B401" t="s">
        <v>531</v>
      </c>
      <c r="C401" s="39">
        <v>39506</v>
      </c>
      <c r="D401" t="s">
        <v>59</v>
      </c>
      <c r="E401" t="s">
        <v>26</v>
      </c>
      <c r="F401" t="s">
        <v>11</v>
      </c>
    </row>
    <row r="402" spans="2:6" x14ac:dyDescent="0.2">
      <c r="B402" t="s">
        <v>52</v>
      </c>
      <c r="C402" s="39">
        <v>38279</v>
      </c>
      <c r="D402" t="s">
        <v>44</v>
      </c>
      <c r="E402" t="s">
        <v>26</v>
      </c>
      <c r="F402" t="s">
        <v>11</v>
      </c>
    </row>
    <row r="403" spans="2:6" x14ac:dyDescent="0.2">
      <c r="B403" t="s">
        <v>203</v>
      </c>
      <c r="C403" s="39">
        <v>37938</v>
      </c>
      <c r="D403" t="s">
        <v>59</v>
      </c>
      <c r="E403" t="s">
        <v>65</v>
      </c>
      <c r="F403" t="s">
        <v>11</v>
      </c>
    </row>
    <row r="404" spans="2:6" x14ac:dyDescent="0.2">
      <c r="B404" t="s">
        <v>204</v>
      </c>
      <c r="C404" s="39">
        <v>38541</v>
      </c>
      <c r="D404" t="s">
        <v>59</v>
      </c>
      <c r="E404" t="s">
        <v>26</v>
      </c>
      <c r="F404" t="s">
        <v>12</v>
      </c>
    </row>
    <row r="405" spans="2:6" x14ac:dyDescent="0.2">
      <c r="B405" t="s">
        <v>205</v>
      </c>
      <c r="C405" s="39">
        <v>37496</v>
      </c>
      <c r="D405" t="s">
        <v>66</v>
      </c>
      <c r="E405" t="s">
        <v>71</v>
      </c>
      <c r="F405" t="s">
        <v>11</v>
      </c>
    </row>
    <row r="406" spans="2:6" x14ac:dyDescent="0.2">
      <c r="B406" t="s">
        <v>486</v>
      </c>
      <c r="C406" s="39">
        <v>38382</v>
      </c>
      <c r="D406" t="s">
        <v>59</v>
      </c>
      <c r="E406" t="s">
        <v>406</v>
      </c>
      <c r="F406" t="s">
        <v>12</v>
      </c>
    </row>
    <row r="407" spans="2:6" x14ac:dyDescent="0.2">
      <c r="B407" t="s">
        <v>340</v>
      </c>
      <c r="C407" s="39">
        <v>37201</v>
      </c>
      <c r="D407" t="s">
        <v>66</v>
      </c>
      <c r="E407" t="s">
        <v>71</v>
      </c>
      <c r="F407" t="s">
        <v>12</v>
      </c>
    </row>
    <row r="408" spans="2:6" x14ac:dyDescent="0.2">
      <c r="B408" t="s">
        <v>487</v>
      </c>
      <c r="C408" s="39">
        <v>37137</v>
      </c>
      <c r="D408" t="s">
        <v>66</v>
      </c>
      <c r="E408" t="s">
        <v>71</v>
      </c>
      <c r="F408" t="s">
        <v>12</v>
      </c>
    </row>
    <row r="409" spans="2:6" x14ac:dyDescent="0.2">
      <c r="B409" t="s">
        <v>574</v>
      </c>
      <c r="C409" s="39">
        <v>40075</v>
      </c>
      <c r="D409" t="s">
        <v>24</v>
      </c>
      <c r="E409" t="s">
        <v>572</v>
      </c>
      <c r="F409" t="s">
        <v>11</v>
      </c>
    </row>
    <row r="410" spans="2:6" x14ac:dyDescent="0.2">
      <c r="B410" t="s">
        <v>399</v>
      </c>
      <c r="C410" s="39">
        <v>39582</v>
      </c>
      <c r="D410" t="s">
        <v>59</v>
      </c>
      <c r="E410" t="s">
        <v>26</v>
      </c>
      <c r="F410" t="s">
        <v>12</v>
      </c>
    </row>
    <row r="411" spans="2:6" x14ac:dyDescent="0.2">
      <c r="B411" t="s">
        <v>206</v>
      </c>
      <c r="C411" s="39">
        <v>38837</v>
      </c>
      <c r="D411" t="s">
        <v>59</v>
      </c>
      <c r="E411" t="s">
        <v>67</v>
      </c>
      <c r="F411" t="s">
        <v>12</v>
      </c>
    </row>
    <row r="412" spans="2:6" x14ac:dyDescent="0.2">
      <c r="B412" t="s">
        <v>341</v>
      </c>
      <c r="C412" s="39">
        <v>37792</v>
      </c>
      <c r="D412" t="s">
        <v>59</v>
      </c>
      <c r="E412" t="s">
        <v>26</v>
      </c>
      <c r="F412" t="s">
        <v>11</v>
      </c>
    </row>
    <row r="413" spans="2:6" x14ac:dyDescent="0.2">
      <c r="B413" t="s">
        <v>207</v>
      </c>
      <c r="C413" s="39">
        <v>37957</v>
      </c>
      <c r="D413" t="s">
        <v>59</v>
      </c>
      <c r="E413" t="s">
        <v>60</v>
      </c>
      <c r="F413" t="s">
        <v>11</v>
      </c>
    </row>
    <row r="414" spans="2:6" x14ac:dyDescent="0.2">
      <c r="B414" t="s">
        <v>265</v>
      </c>
      <c r="C414" s="39">
        <v>37987</v>
      </c>
      <c r="D414" t="s">
        <v>24</v>
      </c>
      <c r="E414" t="s">
        <v>26</v>
      </c>
      <c r="F414" t="s">
        <v>11</v>
      </c>
    </row>
    <row r="415" spans="2:6" x14ac:dyDescent="0.2">
      <c r="B415" t="s">
        <v>342</v>
      </c>
      <c r="C415" s="39">
        <v>38310</v>
      </c>
      <c r="D415" t="s">
        <v>488</v>
      </c>
      <c r="E415" t="s">
        <v>67</v>
      </c>
      <c r="F415" t="s">
        <v>11</v>
      </c>
    </row>
    <row r="416" spans="2:6" x14ac:dyDescent="0.2">
      <c r="B416" t="s">
        <v>208</v>
      </c>
      <c r="C416" s="39">
        <v>37776</v>
      </c>
      <c r="D416" t="s">
        <v>59</v>
      </c>
      <c r="E416" t="s">
        <v>489</v>
      </c>
      <c r="F416" t="s">
        <v>12</v>
      </c>
    </row>
    <row r="417" spans="2:6" x14ac:dyDescent="0.2">
      <c r="B417" t="s">
        <v>580</v>
      </c>
      <c r="C417" s="39">
        <v>38352</v>
      </c>
      <c r="D417" t="s">
        <v>24</v>
      </c>
      <c r="E417" t="s">
        <v>26</v>
      </c>
      <c r="F417" t="s">
        <v>11</v>
      </c>
    </row>
    <row r="418" spans="2:6" x14ac:dyDescent="0.2">
      <c r="B418" t="s">
        <v>579</v>
      </c>
      <c r="C418" s="39">
        <v>38352</v>
      </c>
      <c r="D418" t="s">
        <v>24</v>
      </c>
      <c r="E418" t="s">
        <v>26</v>
      </c>
      <c r="F418" t="s">
        <v>11</v>
      </c>
    </row>
    <row r="419" spans="2:6" x14ac:dyDescent="0.2">
      <c r="B419" t="s">
        <v>343</v>
      </c>
      <c r="C419" s="39">
        <v>38606</v>
      </c>
      <c r="D419" t="s">
        <v>66</v>
      </c>
      <c r="E419" t="s">
        <v>490</v>
      </c>
      <c r="F419" t="s">
        <v>12</v>
      </c>
    </row>
    <row r="420" spans="2:6" x14ac:dyDescent="0.2">
      <c r="B420" t="s">
        <v>344</v>
      </c>
      <c r="C420" s="39">
        <v>37538</v>
      </c>
      <c r="D420" t="s">
        <v>59</v>
      </c>
      <c r="E420" t="s">
        <v>67</v>
      </c>
      <c r="F420" t="s">
        <v>12</v>
      </c>
    </row>
    <row r="421" spans="2:6" x14ac:dyDescent="0.2">
      <c r="B421" t="s">
        <v>378</v>
      </c>
      <c r="C421" s="39">
        <v>39960</v>
      </c>
      <c r="D421" t="s">
        <v>59</v>
      </c>
      <c r="E421" t="s">
        <v>65</v>
      </c>
      <c r="F421" t="s">
        <v>11</v>
      </c>
    </row>
    <row r="422" spans="2:6" x14ac:dyDescent="0.2">
      <c r="B422" t="s">
        <v>491</v>
      </c>
      <c r="C422" s="39">
        <v>38579</v>
      </c>
      <c r="D422" t="s">
        <v>59</v>
      </c>
      <c r="E422" t="s">
        <v>406</v>
      </c>
      <c r="F422" t="s">
        <v>12</v>
      </c>
    </row>
    <row r="423" spans="2:6" x14ac:dyDescent="0.2">
      <c r="B423" t="s">
        <v>345</v>
      </c>
      <c r="C423" s="39">
        <v>38121</v>
      </c>
      <c r="D423" t="s">
        <v>59</v>
      </c>
      <c r="E423" t="s">
        <v>26</v>
      </c>
      <c r="F423" t="s">
        <v>12</v>
      </c>
    </row>
    <row r="424" spans="2:6" x14ac:dyDescent="0.2">
      <c r="B424" t="s">
        <v>492</v>
      </c>
      <c r="C424" s="39">
        <v>37835</v>
      </c>
      <c r="D424" t="s">
        <v>59</v>
      </c>
      <c r="E424" t="s">
        <v>65</v>
      </c>
      <c r="F424" t="s">
        <v>11</v>
      </c>
    </row>
    <row r="425" spans="2:6" x14ac:dyDescent="0.2">
      <c r="B425" t="s">
        <v>346</v>
      </c>
      <c r="C425" s="39">
        <v>38608</v>
      </c>
      <c r="D425" t="s">
        <v>59</v>
      </c>
      <c r="E425" t="s">
        <v>67</v>
      </c>
      <c r="F425" t="s">
        <v>11</v>
      </c>
    </row>
    <row r="426" spans="2:6" x14ac:dyDescent="0.2">
      <c r="B426" t="s">
        <v>493</v>
      </c>
      <c r="C426" s="39">
        <v>39733</v>
      </c>
      <c r="D426" t="s">
        <v>59</v>
      </c>
      <c r="E426" t="s">
        <v>68</v>
      </c>
      <c r="F426" t="s">
        <v>12</v>
      </c>
    </row>
    <row r="427" spans="2:6" x14ac:dyDescent="0.2">
      <c r="B427" t="s">
        <v>209</v>
      </c>
      <c r="C427" s="39">
        <v>39438</v>
      </c>
      <c r="D427" t="s">
        <v>59</v>
      </c>
      <c r="E427" t="s">
        <v>415</v>
      </c>
      <c r="F427" t="s">
        <v>12</v>
      </c>
    </row>
    <row r="428" spans="2:6" x14ac:dyDescent="0.2">
      <c r="B428" t="s">
        <v>348</v>
      </c>
      <c r="C428" s="39">
        <v>38906</v>
      </c>
      <c r="D428" t="s">
        <v>61</v>
      </c>
      <c r="E428" t="s">
        <v>420</v>
      </c>
      <c r="F428" t="s">
        <v>12</v>
      </c>
    </row>
    <row r="429" spans="2:6" x14ac:dyDescent="0.2">
      <c r="B429" t="s">
        <v>347</v>
      </c>
      <c r="C429" s="39">
        <v>39085</v>
      </c>
      <c r="D429" t="s">
        <v>59</v>
      </c>
      <c r="E429" t="s">
        <v>67</v>
      </c>
      <c r="F429" t="s">
        <v>12</v>
      </c>
    </row>
    <row r="430" spans="2:6" x14ac:dyDescent="0.2">
      <c r="B430" t="s">
        <v>210</v>
      </c>
      <c r="C430" s="39">
        <v>38402</v>
      </c>
      <c r="D430" t="s">
        <v>59</v>
      </c>
      <c r="E430" t="s">
        <v>415</v>
      </c>
      <c r="F430" t="s">
        <v>11</v>
      </c>
    </row>
    <row r="431" spans="2:6" x14ac:dyDescent="0.2">
      <c r="B431" t="s">
        <v>349</v>
      </c>
      <c r="C431" s="39">
        <v>39085</v>
      </c>
      <c r="D431" t="s">
        <v>59</v>
      </c>
      <c r="E431" t="s">
        <v>67</v>
      </c>
      <c r="F431" t="s">
        <v>11</v>
      </c>
    </row>
    <row r="432" spans="2:6" x14ac:dyDescent="0.2">
      <c r="B432" t="s">
        <v>494</v>
      </c>
      <c r="C432" s="39">
        <v>39190</v>
      </c>
      <c r="D432" t="s">
        <v>59</v>
      </c>
      <c r="E432" t="s">
        <v>68</v>
      </c>
      <c r="F432" t="s">
        <v>11</v>
      </c>
    </row>
    <row r="433" spans="2:6" x14ac:dyDescent="0.2">
      <c r="B433" t="s">
        <v>393</v>
      </c>
      <c r="C433" s="39">
        <v>39508</v>
      </c>
      <c r="D433" t="s">
        <v>59</v>
      </c>
      <c r="E433" t="s">
        <v>389</v>
      </c>
      <c r="F433" t="s">
        <v>12</v>
      </c>
    </row>
    <row r="434" spans="2:6" x14ac:dyDescent="0.2">
      <c r="B434" t="s">
        <v>211</v>
      </c>
      <c r="C434" s="39">
        <v>38108</v>
      </c>
      <c r="D434" t="s">
        <v>59</v>
      </c>
      <c r="E434" t="s">
        <v>75</v>
      </c>
      <c r="F434" t="s">
        <v>11</v>
      </c>
    </row>
    <row r="435" spans="2:6" x14ac:dyDescent="0.2">
      <c r="B435" t="s">
        <v>350</v>
      </c>
      <c r="C435" s="39">
        <v>39011</v>
      </c>
      <c r="D435" t="s">
        <v>59</v>
      </c>
      <c r="E435" t="s">
        <v>26</v>
      </c>
      <c r="F435" t="s">
        <v>12</v>
      </c>
    </row>
    <row r="436" spans="2:6" x14ac:dyDescent="0.2">
      <c r="B436" t="s">
        <v>212</v>
      </c>
      <c r="C436" s="39">
        <v>38701</v>
      </c>
      <c r="D436" t="s">
        <v>59</v>
      </c>
      <c r="E436" t="s">
        <v>73</v>
      </c>
      <c r="F436" t="s">
        <v>11</v>
      </c>
    </row>
    <row r="437" spans="2:6" x14ac:dyDescent="0.2">
      <c r="B437" t="s">
        <v>351</v>
      </c>
      <c r="C437" s="39">
        <v>37317</v>
      </c>
      <c r="D437" t="s">
        <v>59</v>
      </c>
      <c r="E437" t="s">
        <v>421</v>
      </c>
      <c r="F437" t="s">
        <v>12</v>
      </c>
    </row>
    <row r="438" spans="2:6" x14ac:dyDescent="0.2">
      <c r="B438" t="s">
        <v>352</v>
      </c>
      <c r="C438" s="39">
        <v>38489</v>
      </c>
      <c r="D438" t="s">
        <v>59</v>
      </c>
      <c r="E438" t="s">
        <v>421</v>
      </c>
      <c r="F438" t="s">
        <v>11</v>
      </c>
    </row>
    <row r="439" spans="2:6" x14ac:dyDescent="0.2">
      <c r="B439" t="s">
        <v>495</v>
      </c>
      <c r="C439" s="39">
        <v>39289</v>
      </c>
      <c r="D439" t="s">
        <v>59</v>
      </c>
      <c r="E439" t="s">
        <v>67</v>
      </c>
      <c r="F439" t="s">
        <v>12</v>
      </c>
    </row>
    <row r="440" spans="2:6" x14ac:dyDescent="0.2">
      <c r="B440" t="s">
        <v>496</v>
      </c>
      <c r="C440" s="39">
        <v>37820</v>
      </c>
      <c r="D440" t="s">
        <v>59</v>
      </c>
      <c r="E440" t="s">
        <v>67</v>
      </c>
      <c r="F440" t="s">
        <v>11</v>
      </c>
    </row>
    <row r="441" spans="2:6" x14ac:dyDescent="0.2">
      <c r="B441" t="s">
        <v>497</v>
      </c>
      <c r="C441" s="39">
        <v>36559</v>
      </c>
      <c r="D441" t="s">
        <v>36</v>
      </c>
      <c r="E441" t="s">
        <v>22</v>
      </c>
      <c r="F441" t="s">
        <v>12</v>
      </c>
    </row>
    <row r="442" spans="2:6" x14ac:dyDescent="0.2">
      <c r="B442" t="s">
        <v>213</v>
      </c>
      <c r="C442" s="39">
        <v>38312</v>
      </c>
      <c r="D442" t="s">
        <v>59</v>
      </c>
      <c r="E442" t="s">
        <v>406</v>
      </c>
      <c r="F442" t="s">
        <v>12</v>
      </c>
    </row>
    <row r="443" spans="2:6" x14ac:dyDescent="0.2">
      <c r="B443" t="s">
        <v>498</v>
      </c>
      <c r="C443" s="39">
        <v>37637</v>
      </c>
      <c r="D443" t="s">
        <v>59</v>
      </c>
      <c r="E443" t="s">
        <v>65</v>
      </c>
      <c r="F443" t="s">
        <v>12</v>
      </c>
    </row>
    <row r="444" spans="2:6" x14ac:dyDescent="0.2">
      <c r="B444" t="s">
        <v>214</v>
      </c>
      <c r="C444" s="39">
        <v>38398</v>
      </c>
      <c r="D444" t="s">
        <v>59</v>
      </c>
      <c r="E444" t="s">
        <v>67</v>
      </c>
      <c r="F444" t="s">
        <v>12</v>
      </c>
    </row>
    <row r="445" spans="2:6" x14ac:dyDescent="0.2">
      <c r="B445" t="s">
        <v>353</v>
      </c>
      <c r="C445" s="39">
        <v>37328</v>
      </c>
      <c r="D445" t="s">
        <v>59</v>
      </c>
      <c r="E445" t="s">
        <v>499</v>
      </c>
      <c r="F445" t="s">
        <v>12</v>
      </c>
    </row>
    <row r="447" spans="2:6" x14ac:dyDescent="0.2">
      <c r="B447" t="s">
        <v>38</v>
      </c>
      <c r="C447" s="39">
        <v>37818</v>
      </c>
      <c r="D447" t="s">
        <v>24</v>
      </c>
      <c r="E447" t="s">
        <v>572</v>
      </c>
      <c r="F447" t="s">
        <v>12</v>
      </c>
    </row>
    <row r="448" spans="2:6" x14ac:dyDescent="0.2">
      <c r="B448" t="s">
        <v>215</v>
      </c>
      <c r="C448" s="39">
        <v>41417</v>
      </c>
      <c r="D448" t="s">
        <v>59</v>
      </c>
      <c r="E448" t="s">
        <v>26</v>
      </c>
      <c r="F448" t="s">
        <v>12</v>
      </c>
    </row>
    <row r="449" spans="2:6" x14ac:dyDescent="0.2">
      <c r="B449" t="s">
        <v>216</v>
      </c>
      <c r="C449" s="39">
        <v>38718</v>
      </c>
      <c r="D449" t="s">
        <v>59</v>
      </c>
      <c r="E449" t="s">
        <v>79</v>
      </c>
      <c r="F449" t="s">
        <v>12</v>
      </c>
    </row>
    <row r="450" spans="2:6" x14ac:dyDescent="0.2">
      <c r="B450" t="s">
        <v>354</v>
      </c>
      <c r="C450" s="39">
        <v>38603</v>
      </c>
      <c r="D450" t="s">
        <v>59</v>
      </c>
      <c r="E450" t="s">
        <v>77</v>
      </c>
      <c r="F450" t="s">
        <v>12</v>
      </c>
    </row>
    <row r="451" spans="2:6" x14ac:dyDescent="0.2">
      <c r="B451" t="s">
        <v>217</v>
      </c>
      <c r="C451" s="39">
        <v>38287</v>
      </c>
      <c r="D451" t="s">
        <v>59</v>
      </c>
      <c r="E451" t="s">
        <v>19</v>
      </c>
      <c r="F451" t="s">
        <v>12</v>
      </c>
    </row>
    <row r="452" spans="2:6" x14ac:dyDescent="0.2">
      <c r="B452" t="s">
        <v>500</v>
      </c>
      <c r="C452" s="39">
        <v>38752</v>
      </c>
      <c r="D452" t="s">
        <v>59</v>
      </c>
      <c r="E452" t="s">
        <v>68</v>
      </c>
      <c r="F452" t="s">
        <v>11</v>
      </c>
    </row>
    <row r="453" spans="2:6" x14ac:dyDescent="0.2">
      <c r="B453" t="s">
        <v>377</v>
      </c>
      <c r="C453" s="39">
        <v>39145</v>
      </c>
      <c r="D453" t="s">
        <v>59</v>
      </c>
      <c r="E453" t="s">
        <v>68</v>
      </c>
      <c r="F453" t="s">
        <v>12</v>
      </c>
    </row>
    <row r="454" spans="2:6" x14ac:dyDescent="0.2">
      <c r="B454" t="s">
        <v>266</v>
      </c>
      <c r="C454" s="39">
        <v>38122</v>
      </c>
      <c r="D454" t="s">
        <v>24</v>
      </c>
      <c r="E454" t="s">
        <v>26</v>
      </c>
      <c r="F454" t="s">
        <v>12</v>
      </c>
    </row>
    <row r="456" spans="2:6" x14ac:dyDescent="0.2">
      <c r="B456" t="s">
        <v>501</v>
      </c>
      <c r="C456" s="39">
        <v>37683</v>
      </c>
      <c r="D456" t="s">
        <v>24</v>
      </c>
      <c r="E456" t="s">
        <v>26</v>
      </c>
      <c r="F456" t="s">
        <v>12</v>
      </c>
    </row>
    <row r="457" spans="2:6" x14ac:dyDescent="0.2">
      <c r="B457" t="s">
        <v>355</v>
      </c>
      <c r="C457" s="39">
        <v>38716</v>
      </c>
      <c r="D457" t="s">
        <v>59</v>
      </c>
      <c r="E457" t="s">
        <v>26</v>
      </c>
      <c r="F457" t="s">
        <v>11</v>
      </c>
    </row>
    <row r="458" spans="2:6" x14ac:dyDescent="0.2">
      <c r="B458" t="s">
        <v>218</v>
      </c>
      <c r="C458" s="39">
        <v>38259</v>
      </c>
      <c r="D458" t="s">
        <v>78</v>
      </c>
      <c r="E458" t="s">
        <v>80</v>
      </c>
      <c r="F458" t="s">
        <v>12</v>
      </c>
    </row>
    <row r="459" spans="2:6" x14ac:dyDescent="0.2">
      <c r="B459" t="s">
        <v>395</v>
      </c>
      <c r="C459" s="39">
        <v>39170</v>
      </c>
      <c r="D459" t="s">
        <v>74</v>
      </c>
      <c r="E459" t="s">
        <v>396</v>
      </c>
      <c r="F459" t="s">
        <v>12</v>
      </c>
    </row>
    <row r="460" spans="2:6" x14ac:dyDescent="0.2">
      <c r="B460" t="s">
        <v>267</v>
      </c>
      <c r="C460" s="39">
        <v>38732</v>
      </c>
      <c r="D460" t="s">
        <v>24</v>
      </c>
      <c r="E460" t="s">
        <v>26</v>
      </c>
      <c r="F460" t="s">
        <v>11</v>
      </c>
    </row>
    <row r="461" spans="2:6" x14ac:dyDescent="0.2">
      <c r="B461" t="s">
        <v>542</v>
      </c>
      <c r="C461" s="39">
        <v>39034</v>
      </c>
      <c r="D461" t="s">
        <v>59</v>
      </c>
      <c r="E461" t="s">
        <v>465</v>
      </c>
      <c r="F461" t="s">
        <v>11</v>
      </c>
    </row>
    <row r="462" spans="2:6" x14ac:dyDescent="0.2">
      <c r="B462" t="s">
        <v>502</v>
      </c>
      <c r="C462" s="39">
        <v>39268</v>
      </c>
      <c r="D462" t="s">
        <v>66</v>
      </c>
      <c r="E462" t="s">
        <v>503</v>
      </c>
      <c r="F462" t="s">
        <v>11</v>
      </c>
    </row>
    <row r="464" spans="2:6" x14ac:dyDescent="0.2">
      <c r="B464" t="s">
        <v>40</v>
      </c>
      <c r="C464" s="39">
        <v>37387</v>
      </c>
      <c r="D464" t="s">
        <v>36</v>
      </c>
      <c r="E464" t="s">
        <v>26</v>
      </c>
      <c r="F464" t="s">
        <v>12</v>
      </c>
    </row>
    <row r="465" spans="2:6" x14ac:dyDescent="0.2">
      <c r="B465" t="s">
        <v>356</v>
      </c>
      <c r="C465" s="39">
        <v>39247</v>
      </c>
      <c r="D465" t="s">
        <v>59</v>
      </c>
      <c r="E465" t="s">
        <v>26</v>
      </c>
      <c r="F465" t="s">
        <v>11</v>
      </c>
    </row>
    <row r="466" spans="2:6" x14ac:dyDescent="0.2">
      <c r="B466" t="s">
        <v>504</v>
      </c>
      <c r="C466" s="39">
        <v>39235</v>
      </c>
      <c r="D466" t="s">
        <v>24</v>
      </c>
      <c r="E466" t="s">
        <v>23</v>
      </c>
      <c r="F466" t="s">
        <v>12</v>
      </c>
    </row>
    <row r="467" spans="2:6" x14ac:dyDescent="0.2">
      <c r="B467" t="s">
        <v>505</v>
      </c>
      <c r="C467" s="39">
        <v>37053</v>
      </c>
      <c r="D467" t="s">
        <v>24</v>
      </c>
      <c r="E467" t="s">
        <v>23</v>
      </c>
      <c r="F467" t="s">
        <v>12</v>
      </c>
    </row>
    <row r="468" spans="2:6" x14ac:dyDescent="0.2">
      <c r="B468" t="s">
        <v>506</v>
      </c>
      <c r="C468" s="39">
        <v>37606</v>
      </c>
      <c r="D468" t="s">
        <v>59</v>
      </c>
      <c r="E468" t="s">
        <v>19</v>
      </c>
      <c r="F468" t="s">
        <v>12</v>
      </c>
    </row>
    <row r="469" spans="2:6" x14ac:dyDescent="0.2">
      <c r="B469" t="s">
        <v>507</v>
      </c>
      <c r="C469" s="39">
        <v>38399</v>
      </c>
      <c r="D469" t="s">
        <v>59</v>
      </c>
      <c r="E469" t="s">
        <v>406</v>
      </c>
      <c r="F469" t="s">
        <v>12</v>
      </c>
    </row>
    <row r="470" spans="2:6" x14ac:dyDescent="0.2">
      <c r="B470" t="s">
        <v>373</v>
      </c>
      <c r="C470" s="39">
        <v>39901</v>
      </c>
      <c r="D470" t="s">
        <v>59</v>
      </c>
      <c r="E470" t="s">
        <v>65</v>
      </c>
      <c r="F470" t="s">
        <v>11</v>
      </c>
    </row>
    <row r="471" spans="2:6" x14ac:dyDescent="0.2">
      <c r="B471" t="s">
        <v>508</v>
      </c>
      <c r="C471" s="39">
        <v>38926</v>
      </c>
      <c r="D471" t="s">
        <v>59</v>
      </c>
      <c r="E471" t="s">
        <v>485</v>
      </c>
      <c r="F471" t="s">
        <v>11</v>
      </c>
    </row>
    <row r="472" spans="2:6" x14ac:dyDescent="0.2">
      <c r="B472" t="s">
        <v>509</v>
      </c>
      <c r="C472" s="39">
        <v>40003</v>
      </c>
      <c r="D472" t="s">
        <v>59</v>
      </c>
      <c r="E472" t="s">
        <v>67</v>
      </c>
      <c r="F472" t="s">
        <v>11</v>
      </c>
    </row>
    <row r="473" spans="2:6" x14ac:dyDescent="0.2">
      <c r="B473" t="s">
        <v>510</v>
      </c>
      <c r="C473" s="39">
        <v>39020</v>
      </c>
      <c r="D473" t="s">
        <v>59</v>
      </c>
      <c r="E473" t="s">
        <v>65</v>
      </c>
      <c r="F473" t="s">
        <v>12</v>
      </c>
    </row>
    <row r="474" spans="2:6" x14ac:dyDescent="0.2">
      <c r="B474" t="s">
        <v>511</v>
      </c>
      <c r="C474" s="39">
        <v>40022</v>
      </c>
      <c r="D474" t="s">
        <v>59</v>
      </c>
      <c r="E474" t="s">
        <v>65</v>
      </c>
      <c r="F474" t="s">
        <v>11</v>
      </c>
    </row>
    <row r="475" spans="2:6" x14ac:dyDescent="0.2">
      <c r="B475" t="s">
        <v>219</v>
      </c>
      <c r="C475" s="39">
        <v>39335</v>
      </c>
      <c r="D475" t="s">
        <v>59</v>
      </c>
      <c r="E475" t="s">
        <v>26</v>
      </c>
      <c r="F475" t="s">
        <v>12</v>
      </c>
    </row>
    <row r="476" spans="2:6" x14ac:dyDescent="0.2">
      <c r="B476" t="s">
        <v>540</v>
      </c>
      <c r="C476" s="39">
        <v>40143</v>
      </c>
      <c r="D476" t="s">
        <v>59</v>
      </c>
      <c r="E476" t="s">
        <v>26</v>
      </c>
      <c r="F476" t="s">
        <v>12</v>
      </c>
    </row>
    <row r="477" spans="2:6" x14ac:dyDescent="0.2">
      <c r="B477" t="s">
        <v>357</v>
      </c>
      <c r="C477" s="39">
        <v>39037</v>
      </c>
      <c r="D477" t="s">
        <v>59</v>
      </c>
      <c r="E477" t="s">
        <v>77</v>
      </c>
      <c r="F477" t="s">
        <v>12</v>
      </c>
    </row>
    <row r="478" spans="2:6" x14ac:dyDescent="0.2">
      <c r="B478" t="s">
        <v>358</v>
      </c>
      <c r="C478" s="39">
        <v>38601</v>
      </c>
      <c r="D478" t="s">
        <v>59</v>
      </c>
      <c r="E478" t="s">
        <v>77</v>
      </c>
      <c r="F478" t="s">
        <v>11</v>
      </c>
    </row>
    <row r="479" spans="2:6" x14ac:dyDescent="0.2">
      <c r="B479" t="s">
        <v>34</v>
      </c>
      <c r="C479" s="39">
        <v>37678</v>
      </c>
      <c r="D479" t="s">
        <v>24</v>
      </c>
      <c r="E479" t="s">
        <v>23</v>
      </c>
      <c r="F479" t="s">
        <v>11</v>
      </c>
    </row>
    <row r="480" spans="2:6" x14ac:dyDescent="0.2">
      <c r="B480" t="s">
        <v>512</v>
      </c>
      <c r="C480" s="39">
        <v>38504</v>
      </c>
      <c r="D480" t="s">
        <v>24</v>
      </c>
      <c r="E480" t="s">
        <v>23</v>
      </c>
      <c r="F480" t="s">
        <v>11</v>
      </c>
    </row>
    <row r="482" spans="2:6" x14ac:dyDescent="0.2">
      <c r="B482" t="s">
        <v>268</v>
      </c>
      <c r="C482" s="39">
        <v>38099</v>
      </c>
      <c r="D482" t="s">
        <v>24</v>
      </c>
      <c r="E482" t="s">
        <v>572</v>
      </c>
      <c r="F482" t="s">
        <v>12</v>
      </c>
    </row>
    <row r="483" spans="2:6" x14ac:dyDescent="0.2">
      <c r="B483" t="s">
        <v>238</v>
      </c>
      <c r="C483" s="39">
        <v>37428</v>
      </c>
      <c r="D483" t="s">
        <v>59</v>
      </c>
      <c r="E483" t="s">
        <v>26</v>
      </c>
      <c r="F483" t="s">
        <v>12</v>
      </c>
    </row>
    <row r="484" spans="2:6" x14ac:dyDescent="0.2">
      <c r="B484" t="s">
        <v>220</v>
      </c>
      <c r="C484" s="39">
        <v>38702</v>
      </c>
      <c r="D484" t="s">
        <v>59</v>
      </c>
      <c r="E484" t="s">
        <v>75</v>
      </c>
      <c r="F484" t="s">
        <v>12</v>
      </c>
    </row>
    <row r="485" spans="2:6" x14ac:dyDescent="0.2">
      <c r="B485" t="s">
        <v>513</v>
      </c>
      <c r="C485" s="39">
        <v>38694</v>
      </c>
      <c r="D485" t="s">
        <v>59</v>
      </c>
      <c r="E485" t="s">
        <v>65</v>
      </c>
      <c r="F485" t="s">
        <v>11</v>
      </c>
    </row>
    <row r="486" spans="2:6" x14ac:dyDescent="0.2">
      <c r="B486" t="s">
        <v>609</v>
      </c>
      <c r="C486" s="39">
        <v>37861</v>
      </c>
      <c r="D486" t="s">
        <v>24</v>
      </c>
      <c r="E486" t="s">
        <v>26</v>
      </c>
      <c r="F486" t="s">
        <v>12</v>
      </c>
    </row>
    <row r="487" spans="2:6" x14ac:dyDescent="0.2">
      <c r="B487" t="s">
        <v>514</v>
      </c>
      <c r="C487" s="39">
        <v>40295</v>
      </c>
      <c r="D487" t="s">
        <v>59</v>
      </c>
      <c r="E487" t="s">
        <v>415</v>
      </c>
      <c r="F487" t="s">
        <v>12</v>
      </c>
    </row>
    <row r="488" spans="2:6" x14ac:dyDescent="0.2">
      <c r="B488" t="s">
        <v>221</v>
      </c>
      <c r="C488" s="39">
        <v>39636</v>
      </c>
      <c r="D488" t="s">
        <v>59</v>
      </c>
      <c r="E488" t="s">
        <v>415</v>
      </c>
      <c r="F488" t="s">
        <v>12</v>
      </c>
    </row>
    <row r="489" spans="2:6" x14ac:dyDescent="0.2">
      <c r="B489" t="s">
        <v>222</v>
      </c>
      <c r="C489" s="39">
        <v>39176</v>
      </c>
      <c r="D489" t="s">
        <v>59</v>
      </c>
      <c r="E489" t="s">
        <v>26</v>
      </c>
      <c r="F489" t="s">
        <v>11</v>
      </c>
    </row>
    <row r="490" spans="2:6" x14ac:dyDescent="0.2">
      <c r="B490" t="s">
        <v>223</v>
      </c>
      <c r="C490" s="39">
        <v>39831</v>
      </c>
      <c r="D490" t="s">
        <v>59</v>
      </c>
      <c r="E490" t="s">
        <v>65</v>
      </c>
      <c r="F490" t="s">
        <v>12</v>
      </c>
    </row>
    <row r="491" spans="2:6" x14ac:dyDescent="0.2">
      <c r="B491" t="s">
        <v>224</v>
      </c>
      <c r="C491" s="39">
        <v>38536</v>
      </c>
      <c r="D491" t="s">
        <v>59</v>
      </c>
      <c r="E491" t="s">
        <v>68</v>
      </c>
      <c r="F491" t="s">
        <v>11</v>
      </c>
    </row>
    <row r="492" spans="2:6" x14ac:dyDescent="0.2">
      <c r="B492" t="s">
        <v>359</v>
      </c>
      <c r="C492" s="39">
        <v>37746</v>
      </c>
      <c r="D492" t="s">
        <v>59</v>
      </c>
      <c r="E492" t="s">
        <v>421</v>
      </c>
      <c r="F492" t="s">
        <v>11</v>
      </c>
    </row>
    <row r="493" spans="2:6" x14ac:dyDescent="0.2">
      <c r="B493" t="s">
        <v>360</v>
      </c>
      <c r="C493" s="39">
        <v>38354</v>
      </c>
      <c r="D493" t="s">
        <v>59</v>
      </c>
      <c r="E493" t="s">
        <v>421</v>
      </c>
      <c r="F493" t="s">
        <v>11</v>
      </c>
    </row>
    <row r="494" spans="2:6" x14ac:dyDescent="0.2">
      <c r="B494" t="s">
        <v>225</v>
      </c>
      <c r="C494" s="39">
        <v>39395</v>
      </c>
      <c r="D494" t="s">
        <v>59</v>
      </c>
      <c r="E494" t="s">
        <v>67</v>
      </c>
      <c r="F494" t="s">
        <v>12</v>
      </c>
    </row>
    <row r="495" spans="2:6" x14ac:dyDescent="0.2">
      <c r="B495" t="s">
        <v>27</v>
      </c>
      <c r="C495" s="39">
        <v>37738</v>
      </c>
      <c r="D495" t="s">
        <v>36</v>
      </c>
      <c r="E495" t="s">
        <v>22</v>
      </c>
      <c r="F495" t="s">
        <v>12</v>
      </c>
    </row>
    <row r="496" spans="2:6" x14ac:dyDescent="0.2">
      <c r="B496" t="s">
        <v>46</v>
      </c>
      <c r="C496" s="39">
        <v>36553</v>
      </c>
      <c r="D496" t="s">
        <v>44</v>
      </c>
      <c r="E496" t="s">
        <v>26</v>
      </c>
      <c r="F496" t="s">
        <v>11</v>
      </c>
    </row>
    <row r="497" spans="2:6" x14ac:dyDescent="0.2">
      <c r="B497" t="s">
        <v>269</v>
      </c>
      <c r="C497" s="39">
        <v>37242</v>
      </c>
      <c r="D497" t="s">
        <v>24</v>
      </c>
      <c r="E497" t="s">
        <v>26</v>
      </c>
      <c r="F497" t="s">
        <v>12</v>
      </c>
    </row>
    <row r="498" spans="2:6" x14ac:dyDescent="0.2">
      <c r="B498" t="s">
        <v>226</v>
      </c>
      <c r="C498" s="39">
        <v>38987</v>
      </c>
      <c r="D498" t="s">
        <v>59</v>
      </c>
      <c r="E498" t="s">
        <v>19</v>
      </c>
      <c r="F498" t="s">
        <v>12</v>
      </c>
    </row>
    <row r="499" spans="2:6" x14ac:dyDescent="0.2">
      <c r="B499" t="s">
        <v>361</v>
      </c>
      <c r="C499" s="39">
        <v>39541</v>
      </c>
      <c r="D499" t="s">
        <v>59</v>
      </c>
      <c r="E499" t="s">
        <v>77</v>
      </c>
      <c r="F499" t="s">
        <v>12</v>
      </c>
    </row>
    <row r="500" spans="2:6" x14ac:dyDescent="0.2">
      <c r="B500" t="s">
        <v>227</v>
      </c>
      <c r="C500" s="39">
        <v>38880</v>
      </c>
      <c r="D500" t="s">
        <v>61</v>
      </c>
      <c r="E500" t="s">
        <v>420</v>
      </c>
      <c r="F500" t="s">
        <v>12</v>
      </c>
    </row>
    <row r="501" spans="2:6" x14ac:dyDescent="0.2">
      <c r="B501" t="s">
        <v>228</v>
      </c>
      <c r="C501" s="39">
        <v>38291</v>
      </c>
      <c r="D501" t="s">
        <v>59</v>
      </c>
      <c r="E501" t="s">
        <v>19</v>
      </c>
      <c r="F501" t="s">
        <v>12</v>
      </c>
    </row>
    <row r="502" spans="2:6" x14ac:dyDescent="0.2">
      <c r="B502" t="s">
        <v>564</v>
      </c>
      <c r="C502" s="39">
        <v>37871</v>
      </c>
      <c r="D502" t="s">
        <v>59</v>
      </c>
      <c r="E502" t="s">
        <v>465</v>
      </c>
      <c r="F502" t="s">
        <v>11</v>
      </c>
    </row>
    <row r="503" spans="2:6" x14ac:dyDescent="0.2">
      <c r="B503" t="s">
        <v>229</v>
      </c>
      <c r="C503" s="39">
        <v>39253</v>
      </c>
      <c r="D503" t="s">
        <v>76</v>
      </c>
      <c r="E503" t="s">
        <v>77</v>
      </c>
      <c r="F503" t="s">
        <v>12</v>
      </c>
    </row>
    <row r="504" spans="2:6" x14ac:dyDescent="0.2">
      <c r="B504" t="s">
        <v>362</v>
      </c>
      <c r="C504" s="39">
        <v>37497</v>
      </c>
      <c r="D504" t="s">
        <v>59</v>
      </c>
      <c r="E504" t="s">
        <v>26</v>
      </c>
      <c r="F504" t="s">
        <v>12</v>
      </c>
    </row>
    <row r="505" spans="2:6" x14ac:dyDescent="0.2">
      <c r="B505" t="s">
        <v>230</v>
      </c>
      <c r="C505" s="39">
        <v>39899</v>
      </c>
      <c r="D505" t="s">
        <v>59</v>
      </c>
      <c r="E505" t="s">
        <v>26</v>
      </c>
      <c r="F505" t="s">
        <v>11</v>
      </c>
    </row>
    <row r="506" spans="2:6" x14ac:dyDescent="0.2">
      <c r="B506" t="s">
        <v>400</v>
      </c>
      <c r="C506" s="39">
        <v>40242</v>
      </c>
      <c r="D506" t="s">
        <v>59</v>
      </c>
      <c r="E506" t="s">
        <v>26</v>
      </c>
      <c r="F506" t="s">
        <v>12</v>
      </c>
    </row>
    <row r="507" spans="2:6" x14ac:dyDescent="0.2">
      <c r="B507" t="s">
        <v>546</v>
      </c>
      <c r="C507" s="39">
        <v>40058</v>
      </c>
      <c r="D507" t="s">
        <v>59</v>
      </c>
      <c r="E507" t="s">
        <v>547</v>
      </c>
      <c r="F507" t="s">
        <v>12</v>
      </c>
    </row>
    <row r="508" spans="2:6" x14ac:dyDescent="0.2">
      <c r="B508" t="s">
        <v>518</v>
      </c>
      <c r="C508" s="39">
        <v>39810</v>
      </c>
      <c r="D508" t="s">
        <v>59</v>
      </c>
      <c r="E508" t="s">
        <v>406</v>
      </c>
      <c r="F508" t="s">
        <v>12</v>
      </c>
    </row>
    <row r="509" spans="2:6" x14ac:dyDescent="0.2">
      <c r="B509" t="s">
        <v>231</v>
      </c>
      <c r="C509" s="39">
        <v>37680</v>
      </c>
      <c r="D509" t="s">
        <v>59</v>
      </c>
      <c r="E509" t="s">
        <v>75</v>
      </c>
      <c r="F509" t="s">
        <v>12</v>
      </c>
    </row>
    <row r="510" spans="2:6" x14ac:dyDescent="0.2">
      <c r="B510" t="s">
        <v>270</v>
      </c>
      <c r="C510" s="39">
        <v>38643</v>
      </c>
      <c r="D510" t="s">
        <v>24</v>
      </c>
      <c r="E510" t="s">
        <v>23</v>
      </c>
      <c r="F510" t="s">
        <v>12</v>
      </c>
    </row>
    <row r="511" spans="2:6" x14ac:dyDescent="0.2">
      <c r="B511" t="s">
        <v>515</v>
      </c>
      <c r="C511" s="39">
        <v>39699</v>
      </c>
      <c r="D511" t="s">
        <v>59</v>
      </c>
      <c r="E511" t="s">
        <v>26</v>
      </c>
      <c r="F511" t="s">
        <v>11</v>
      </c>
    </row>
    <row r="512" spans="2:6" x14ac:dyDescent="0.2">
      <c r="B512" t="s">
        <v>581</v>
      </c>
      <c r="C512" s="39">
        <v>39705</v>
      </c>
      <c r="D512" t="s">
        <v>24</v>
      </c>
      <c r="E512" t="s">
        <v>572</v>
      </c>
      <c r="F512" t="s">
        <v>12</v>
      </c>
    </row>
    <row r="513" spans="2:6" x14ac:dyDescent="0.2">
      <c r="B513" t="s">
        <v>516</v>
      </c>
      <c r="C513" s="39">
        <v>37744</v>
      </c>
      <c r="D513" t="s">
        <v>24</v>
      </c>
      <c r="E513" t="s">
        <v>26</v>
      </c>
      <c r="F513" t="s">
        <v>11</v>
      </c>
    </row>
    <row r="514" spans="2:6" x14ac:dyDescent="0.2">
      <c r="B514" t="s">
        <v>232</v>
      </c>
      <c r="C514" s="39">
        <v>38843</v>
      </c>
      <c r="D514" t="s">
        <v>59</v>
      </c>
      <c r="E514" t="s">
        <v>19</v>
      </c>
      <c r="F514" t="s">
        <v>12</v>
      </c>
    </row>
    <row r="515" spans="2:6" x14ac:dyDescent="0.2">
      <c r="B515" t="s">
        <v>363</v>
      </c>
      <c r="C515" s="39">
        <v>38843</v>
      </c>
      <c r="D515" t="s">
        <v>59</v>
      </c>
      <c r="E515" t="s">
        <v>26</v>
      </c>
      <c r="F515" t="s">
        <v>12</v>
      </c>
    </row>
    <row r="516" spans="2:6" x14ac:dyDescent="0.2">
      <c r="B516" t="s">
        <v>550</v>
      </c>
      <c r="C516" s="39">
        <v>39440</v>
      </c>
      <c r="D516" t="s">
        <v>59</v>
      </c>
      <c r="E516" t="s">
        <v>26</v>
      </c>
      <c r="F516" t="s">
        <v>11</v>
      </c>
    </row>
    <row r="517" spans="2:6" x14ac:dyDescent="0.2">
      <c r="B517" t="s">
        <v>364</v>
      </c>
      <c r="C517" s="39">
        <v>39471</v>
      </c>
      <c r="D517" t="s">
        <v>59</v>
      </c>
      <c r="E517" t="s">
        <v>77</v>
      </c>
      <c r="F517" t="s">
        <v>12</v>
      </c>
    </row>
    <row r="518" spans="2:6" x14ac:dyDescent="0.2">
      <c r="B518" t="s">
        <v>365</v>
      </c>
      <c r="C518" s="39">
        <v>37798</v>
      </c>
      <c r="D518" t="s">
        <v>59</v>
      </c>
      <c r="E518" t="s">
        <v>77</v>
      </c>
      <c r="F518" t="s">
        <v>12</v>
      </c>
    </row>
    <row r="519" spans="2:6" x14ac:dyDescent="0.2">
      <c r="B519" t="s">
        <v>594</v>
      </c>
      <c r="C519" s="39">
        <v>38418</v>
      </c>
      <c r="D519" t="s">
        <v>24</v>
      </c>
      <c r="E519" t="s">
        <v>26</v>
      </c>
      <c r="F519" t="s">
        <v>11</v>
      </c>
    </row>
    <row r="520" spans="2:6" x14ac:dyDescent="0.2">
      <c r="B520" t="s">
        <v>244</v>
      </c>
      <c r="C520" s="39">
        <v>38088</v>
      </c>
      <c r="D520" t="s">
        <v>24</v>
      </c>
      <c r="E520" t="s">
        <v>26</v>
      </c>
      <c r="F520" t="s">
        <v>11</v>
      </c>
    </row>
    <row r="521" spans="2:6" x14ac:dyDescent="0.2">
      <c r="E521" t="s">
        <v>26</v>
      </c>
    </row>
    <row r="522" spans="2:6" x14ac:dyDescent="0.2">
      <c r="B522" t="s">
        <v>596</v>
      </c>
      <c r="C522" s="39">
        <v>37848</v>
      </c>
      <c r="D522" t="s">
        <v>24</v>
      </c>
      <c r="E522" t="s">
        <v>26</v>
      </c>
      <c r="F522" t="s">
        <v>11</v>
      </c>
    </row>
    <row r="524" spans="2:6" x14ac:dyDescent="0.2">
      <c r="B524" t="s">
        <v>597</v>
      </c>
      <c r="C524" s="39">
        <v>38344</v>
      </c>
      <c r="D524" t="s">
        <v>24</v>
      </c>
      <c r="E524" t="s">
        <v>595</v>
      </c>
      <c r="F524" t="s">
        <v>11</v>
      </c>
    </row>
    <row r="525" spans="2:6" x14ac:dyDescent="0.2">
      <c r="B525" t="s">
        <v>450</v>
      </c>
      <c r="C525" s="39">
        <v>37916</v>
      </c>
      <c r="D525" t="s">
        <v>24</v>
      </c>
      <c r="E525" t="s">
        <v>572</v>
      </c>
      <c r="F525" t="s">
        <v>12</v>
      </c>
    </row>
    <row r="526" spans="2:6" x14ac:dyDescent="0.2">
      <c r="B526" t="s">
        <v>245</v>
      </c>
      <c r="C526" s="39">
        <v>39658</v>
      </c>
      <c r="D526" t="s">
        <v>24</v>
      </c>
      <c r="E526" t="s">
        <v>572</v>
      </c>
      <c r="F526" t="s">
        <v>12</v>
      </c>
    </row>
    <row r="527" spans="2:6" x14ac:dyDescent="0.2">
      <c r="B527" t="s">
        <v>600</v>
      </c>
      <c r="C527" s="39">
        <v>37773</v>
      </c>
      <c r="D527" t="s">
        <v>24</v>
      </c>
      <c r="E527" t="s">
        <v>26</v>
      </c>
      <c r="F527" t="s">
        <v>12</v>
      </c>
    </row>
    <row r="528" spans="2:6" x14ac:dyDescent="0.2">
      <c r="B528" t="s">
        <v>601</v>
      </c>
      <c r="C528" s="39">
        <v>37775</v>
      </c>
      <c r="D528" t="s">
        <v>24</v>
      </c>
      <c r="E528" t="s">
        <v>595</v>
      </c>
      <c r="F528" t="s">
        <v>11</v>
      </c>
    </row>
    <row r="529" spans="2:6" x14ac:dyDescent="0.2">
      <c r="B529" t="s">
        <v>602</v>
      </c>
      <c r="C529" s="39">
        <v>38882</v>
      </c>
      <c r="D529" t="s">
        <v>24</v>
      </c>
      <c r="E529" t="s">
        <v>595</v>
      </c>
      <c r="F529" t="s">
        <v>11</v>
      </c>
    </row>
    <row r="530" spans="2:6" x14ac:dyDescent="0.2">
      <c r="B530" t="s">
        <v>603</v>
      </c>
      <c r="C530" s="39">
        <v>39594</v>
      </c>
      <c r="D530" t="s">
        <v>24</v>
      </c>
      <c r="E530" t="s">
        <v>595</v>
      </c>
      <c r="F530" t="s">
        <v>11</v>
      </c>
    </row>
    <row r="531" spans="2:6" x14ac:dyDescent="0.2">
      <c r="B531" t="s">
        <v>604</v>
      </c>
      <c r="C531" s="39">
        <v>37981</v>
      </c>
      <c r="D531" t="s">
        <v>24</v>
      </c>
      <c r="E531" t="s">
        <v>595</v>
      </c>
      <c r="F531" t="s">
        <v>11</v>
      </c>
    </row>
    <row r="532" spans="2:6" x14ac:dyDescent="0.2">
      <c r="B532" t="s">
        <v>605</v>
      </c>
      <c r="C532" s="39">
        <v>38523</v>
      </c>
      <c r="D532" t="s">
        <v>24</v>
      </c>
      <c r="E532" t="s">
        <v>595</v>
      </c>
      <c r="F532" t="s">
        <v>11</v>
      </c>
    </row>
    <row r="533" spans="2:6" x14ac:dyDescent="0.2">
      <c r="B533" t="s">
        <v>607</v>
      </c>
      <c r="C533" s="39">
        <v>38548</v>
      </c>
      <c r="D533" t="s">
        <v>606</v>
      </c>
      <c r="E533" t="s">
        <v>26</v>
      </c>
      <c r="F533" t="s">
        <v>12</v>
      </c>
    </row>
    <row r="534" spans="2:6" x14ac:dyDescent="0.2">
      <c r="B534" t="s">
        <v>608</v>
      </c>
      <c r="C534" s="39">
        <v>39427</v>
      </c>
      <c r="D534" t="s">
        <v>606</v>
      </c>
      <c r="E534" t="s">
        <v>26</v>
      </c>
      <c r="F534" t="s">
        <v>12</v>
      </c>
    </row>
  </sheetData>
  <sortState ref="B1:F525">
    <sortCondition ref="B1:B525"/>
  </sortState>
  <conditionalFormatting sqref="B1:B2000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zoomScaleNormal="100" workbookViewId="0">
      <selection activeCell="C12" sqref="C12"/>
    </sheetView>
  </sheetViews>
  <sheetFormatPr defaultRowHeight="15" x14ac:dyDescent="0.2"/>
  <cols>
    <col min="1" max="1" width="4.7109375" style="28" customWidth="1"/>
    <col min="2" max="2" width="6.85546875" style="28" customWidth="1"/>
    <col min="3" max="3" width="28.5703125" style="44" customWidth="1"/>
    <col min="4" max="4" width="11.5703125" style="28" customWidth="1"/>
    <col min="5" max="5" width="8.7109375" style="28" customWidth="1"/>
    <col min="6" max="6" width="5.42578125" style="28" customWidth="1"/>
    <col min="7" max="7" width="5.7109375" style="28" customWidth="1"/>
    <col min="8" max="8" width="14.7109375" style="28" customWidth="1"/>
    <col min="9" max="9" width="17.5703125" style="28" customWidth="1"/>
    <col min="10" max="10" width="26.7109375" style="44" customWidth="1"/>
    <col min="11" max="11" width="4.28515625" style="28" customWidth="1"/>
    <col min="12" max="12" width="9.140625" style="28"/>
    <col min="13" max="13" width="9.140625" style="28" customWidth="1"/>
    <col min="14" max="16" width="9.140625" style="28" hidden="1" customWidth="1"/>
    <col min="17" max="17" width="11.28515625" style="28" hidden="1" customWidth="1"/>
    <col min="18" max="18" width="6.140625" style="54" hidden="1" customWidth="1"/>
    <col min="19" max="16384" width="9.140625" style="28"/>
  </cols>
  <sheetData>
    <row r="1" spans="1:18" s="19" customFormat="1" ht="25.5" customHeight="1" x14ac:dyDescent="0.25">
      <c r="A1" s="90" t="s">
        <v>391</v>
      </c>
      <c r="B1" s="91"/>
      <c r="C1" s="91"/>
      <c r="D1" s="91"/>
      <c r="E1" s="91"/>
      <c r="F1" s="91"/>
      <c r="G1" s="91"/>
      <c r="H1" s="91"/>
      <c r="I1" s="91"/>
      <c r="J1" s="91"/>
      <c r="K1" s="92"/>
      <c r="L1" s="17"/>
      <c r="M1" s="17"/>
      <c r="N1" s="17">
        <f>YEAR(Reg!L1)</f>
        <v>2014</v>
      </c>
      <c r="O1" s="18"/>
    </row>
    <row r="2" spans="1:18" s="22" customFormat="1" ht="25.5" customHeight="1" thickBot="1" x14ac:dyDescent="0.25">
      <c r="A2" s="88" t="str">
        <f>"Группа А (девочки "&amp;Reg!B1&amp;"-"&amp;Reg!D1-1&amp;": "&amp;$N$1-Reg!B1&amp;"-"&amp;$N$1-Reg!D1+1&amp;" г.р.)"</f>
        <v>Группа А (девочки 4-7: 2010-2007 г.р.)</v>
      </c>
      <c r="B2" s="89"/>
      <c r="C2" s="89"/>
      <c r="D2" s="89"/>
      <c r="E2" s="89"/>
      <c r="F2" s="89"/>
      <c r="G2" s="89"/>
      <c r="H2" s="89"/>
      <c r="I2" s="89"/>
      <c r="J2" s="89"/>
      <c r="K2" s="50"/>
      <c r="L2" s="20"/>
      <c r="M2" s="20"/>
      <c r="N2" s="20"/>
      <c r="O2" s="21"/>
    </row>
    <row r="3" spans="1:18" s="25" customFormat="1" ht="44.25" customHeight="1" thickBot="1" x14ac:dyDescent="0.25">
      <c r="A3" s="23" t="s">
        <v>5</v>
      </c>
      <c r="B3" s="64" t="s">
        <v>4</v>
      </c>
      <c r="C3" s="42" t="s">
        <v>0</v>
      </c>
      <c r="D3" s="32" t="s">
        <v>6</v>
      </c>
      <c r="E3" s="33" t="s">
        <v>15</v>
      </c>
      <c r="F3" s="62" t="s">
        <v>7</v>
      </c>
      <c r="G3" s="63" t="s">
        <v>16</v>
      </c>
      <c r="H3" s="23" t="s">
        <v>17</v>
      </c>
      <c r="I3" s="32" t="s">
        <v>2</v>
      </c>
      <c r="J3" s="42" t="s">
        <v>3</v>
      </c>
      <c r="K3" s="65" t="s">
        <v>18</v>
      </c>
      <c r="L3" s="24"/>
      <c r="M3" s="24"/>
      <c r="N3" s="24"/>
    </row>
    <row r="4" spans="1:18" s="25" customFormat="1" ht="15" customHeight="1" x14ac:dyDescent="0.2">
      <c r="A4" s="26">
        <f>IF($B4="","",ROW()-3)</f>
        <v>1</v>
      </c>
      <c r="B4" s="29">
        <f>IF(ISNA($N4),"",$N4)</f>
        <v>12</v>
      </c>
      <c r="C4" s="43" t="str">
        <f>IF(ISNA($N4),"",VLOOKUP($B4,Reg!$M$3:$N$202,2,0))</f>
        <v>Жибоедова Екатерина</v>
      </c>
      <c r="D4" s="30">
        <f>IF(ISNA($N4),"",VLOOKUP($B4,Reg!$M$3:$O$202,3,0))</f>
        <v>39594</v>
      </c>
      <c r="E4" s="34">
        <v>84.072999999999993</v>
      </c>
      <c r="F4" s="40"/>
      <c r="G4" s="53">
        <f>IF(ISBLANK($E4),"",IF(ISBLANK($F4),0,$F4*2))</f>
        <v>0</v>
      </c>
      <c r="H4" s="37" t="str">
        <f>IF(ISBLANK($E4),"",TEXT($P4,"###")&amp;IF($P4=0,""," мин ")&amp;TEXT($E4+$G4-$P4*60,"###,###")&amp;" с")</f>
        <v>1 мин 24,073 с</v>
      </c>
      <c r="I4" s="29" t="str">
        <f>IF(ISNA($N4),"",VLOOKUP($B4,Reg!$M$3:$P$200,4,0))</f>
        <v>Ульяновск</v>
      </c>
      <c r="J4" s="45" t="str">
        <f>IF(ISNA($O4),"",IF($O4=0,"",$O4))</f>
        <v>Jerzy</v>
      </c>
      <c r="K4" s="48">
        <f>IF($E4&gt;0,RANK($Q4,$Q$4:$Q$50,1),"")</f>
        <v>1</v>
      </c>
      <c r="L4" s="24"/>
      <c r="M4" s="24"/>
      <c r="N4" s="24">
        <f>VLOOKUP(6,Reg!$B$2:$M$202,12,0)</f>
        <v>12</v>
      </c>
      <c r="O4" s="25" t="str">
        <f>VLOOKUP($B4,Reg!$M$3:$Q$202,5,0)</f>
        <v>Jerzy</v>
      </c>
      <c r="P4" s="25">
        <f>INT((E4+G4)/60)</f>
        <v>1</v>
      </c>
      <c r="Q4" s="47">
        <f>IF($E4&gt;0,$E4+$G4,1000)</f>
        <v>84.072999999999993</v>
      </c>
      <c r="R4" s="25">
        <v>6</v>
      </c>
    </row>
    <row r="5" spans="1:18" s="25" customFormat="1" ht="15" customHeight="1" x14ac:dyDescent="0.2">
      <c r="A5" s="26">
        <f>IF($B5="","",ROW()-3)</f>
        <v>2</v>
      </c>
      <c r="B5" s="29">
        <f>IF(ISNA($N5),"",$N5)</f>
        <v>28</v>
      </c>
      <c r="C5" s="43" t="str">
        <f>IF(ISNA($N5),"",VLOOKUP($B5,Reg!$M$3:$N$202,2,0))</f>
        <v>Богоявленская Маргарита</v>
      </c>
      <c r="D5" s="31">
        <f>IF(ISNA($N5),"",VLOOKUP($B5,Reg!$M$3:$O$202,3,0))</f>
        <v>39678</v>
      </c>
      <c r="E5" s="35">
        <v>86.811000000000007</v>
      </c>
      <c r="F5" s="41">
        <v>0</v>
      </c>
      <c r="G5" s="36">
        <f>IF(ISBLANK($E5),"",IF(ISBLANK($F5),0,$F5*2))</f>
        <v>0</v>
      </c>
      <c r="H5" s="38" t="str">
        <f>IF(ISBLANK($E5),"",TEXT($P5,"###")&amp;IF($P5=0,""," мин ")&amp;TEXT($E5+$G5-$P5*60,"###,###")&amp;" с")</f>
        <v>1 мин 26,811 с</v>
      </c>
      <c r="I5" s="29" t="str">
        <f>IF(ISNA($N5),"",VLOOKUP($B5,Reg!$M$3:$P$200,4,0))</f>
        <v>Ульяновск</v>
      </c>
      <c r="J5" s="46" t="str">
        <f>IF(ISNA($O5),"",IF($O5=0,"",$O5))</f>
        <v xml:space="preserve"> </v>
      </c>
      <c r="K5" s="49">
        <f>IF($E5&gt;0,RANK($Q5,$Q$4:$Q$50,1),"")</f>
        <v>2</v>
      </c>
      <c r="L5" s="24"/>
      <c r="M5" s="24"/>
      <c r="N5" s="24">
        <f>VLOOKUP(4,Reg!$B$2:$M$202,12,0)</f>
        <v>28</v>
      </c>
      <c r="O5" s="25" t="str">
        <f>VLOOKUP($B5,Reg!$M$3:$Q$202,5,0)</f>
        <v xml:space="preserve"> </v>
      </c>
      <c r="P5" s="25">
        <f>INT((E5+G5)/60)</f>
        <v>1</v>
      </c>
      <c r="Q5" s="47">
        <f>IF($E5&gt;0,$E5+$G5,1000)</f>
        <v>86.811000000000007</v>
      </c>
      <c r="R5" s="25">
        <v>4</v>
      </c>
    </row>
    <row r="6" spans="1:18" s="25" customFormat="1" ht="15" customHeight="1" x14ac:dyDescent="0.2">
      <c r="A6" s="26">
        <f>IF($B6="","",ROW()-3)</f>
        <v>3</v>
      </c>
      <c r="B6" s="29">
        <f>IF(ISNA($N6),"",$N6)</f>
        <v>29</v>
      </c>
      <c r="C6" s="43" t="str">
        <f>IF(ISNA($N6),"",VLOOKUP($B6,Reg!$M$3:$N$202,2,0))</f>
        <v>Богоявленская Александра</v>
      </c>
      <c r="D6" s="31">
        <f>IF(ISNA($N6),"",VLOOKUP($B6,Reg!$M$3:$O$202,3,0))</f>
        <v>39169</v>
      </c>
      <c r="E6" s="35">
        <v>93.213999999999999</v>
      </c>
      <c r="F6" s="41">
        <v>1</v>
      </c>
      <c r="G6" s="52">
        <f>IF(ISBLANK($E6),"",IF(ISBLANK($F6),0,$F6*2))</f>
        <v>2</v>
      </c>
      <c r="H6" s="38" t="str">
        <f>IF(ISBLANK($E6),"",TEXT($P6,"###")&amp;IF($P6=0,""," мин ")&amp;TEXT($E6+$G6-$P6*60,"###,###")&amp;" с")</f>
        <v>1 мин 35,214 с</v>
      </c>
      <c r="I6" s="29" t="str">
        <f>IF(ISNA($N6),"",VLOOKUP($B6,Reg!$M$3:$P$200,4,0))</f>
        <v>Ульяновск</v>
      </c>
      <c r="J6" s="46" t="str">
        <f>IF(ISNA($O6),"",IF($O6=0,"",$O6))</f>
        <v xml:space="preserve"> </v>
      </c>
      <c r="K6" s="49">
        <f>IF($E6&gt;0,RANK($Q6,$Q$4:$Q$50,1),"")</f>
        <v>3</v>
      </c>
      <c r="L6" s="24"/>
      <c r="M6" s="24"/>
      <c r="N6" s="24">
        <f>VLOOKUP(3,Reg!$B$2:$M$202,12,0)</f>
        <v>29</v>
      </c>
      <c r="O6" s="25" t="str">
        <f>VLOOKUP($B6,Reg!$M$3:$Q$202,5,0)</f>
        <v xml:space="preserve"> </v>
      </c>
      <c r="P6" s="25">
        <f>INT((E6+G6)/60)</f>
        <v>1</v>
      </c>
      <c r="Q6" s="47">
        <f>IF($E6&gt;0,$E6+$G6,1000)</f>
        <v>95.213999999999999</v>
      </c>
      <c r="R6" s="25">
        <v>3</v>
      </c>
    </row>
    <row r="7" spans="1:18" s="25" customFormat="1" ht="15" customHeight="1" x14ac:dyDescent="0.2">
      <c r="A7" s="26">
        <f>IF($B7="","",ROW()-3)</f>
        <v>4</v>
      </c>
      <c r="B7" s="29">
        <f>IF(ISNA($N7),"",$N7)</f>
        <v>36</v>
      </c>
      <c r="C7" s="43" t="str">
        <f>IF(ISNA($N7),"",VLOOKUP($B7,Reg!$M$3:$N$202,2,0))</f>
        <v>Гашук Софья</v>
      </c>
      <c r="D7" s="31">
        <f>IF(ISNA($N7),"",VLOOKUP($B7,Reg!$M$3:$O$202,3,0))</f>
        <v>39227</v>
      </c>
      <c r="E7" s="35">
        <v>106.45</v>
      </c>
      <c r="F7" s="41">
        <v>1</v>
      </c>
      <c r="G7" s="36">
        <f>IF(ISBLANK($E7),"",IF(ISBLANK($F7),0,$F7*2))</f>
        <v>2</v>
      </c>
      <c r="H7" s="38" t="str">
        <f>IF(ISBLANK($E7),"",TEXT($P7,"###")&amp;IF($P7=0,""," мин ")&amp;TEXT($E7+$G7-$P7*60,"###,###")&amp;" с")</f>
        <v>1 мин 48,45 с</v>
      </c>
      <c r="I7" s="29" t="str">
        <f>IF(ISNA($N7),"",VLOOKUP($B7,Reg!$M$3:$P$200,4,0))</f>
        <v>Ульяновск</v>
      </c>
      <c r="J7" s="46" t="str">
        <f>IF(ISNA($O7),"",IF($O7=0,"",$O7))</f>
        <v>UNITY</v>
      </c>
      <c r="K7" s="49">
        <f>IF($E7&gt;0,RANK($Q7,$Q$4:$Q$50,1),"")</f>
        <v>4</v>
      </c>
      <c r="L7" s="27"/>
      <c r="M7" s="27"/>
      <c r="N7" s="24">
        <f>VLOOKUP(5,Reg!$B$2:$M$202,12,0)</f>
        <v>36</v>
      </c>
      <c r="O7" s="25" t="str">
        <f>VLOOKUP($B7,Reg!$M$3:$Q$202,5,0)</f>
        <v>UNITY</v>
      </c>
      <c r="P7" s="25">
        <f>INT((E7+G7)/60)</f>
        <v>1</v>
      </c>
      <c r="Q7" s="47">
        <f>IF($E7&gt;0,$E7+$G7,1000)</f>
        <v>108.45</v>
      </c>
      <c r="R7" s="25">
        <v>5</v>
      </c>
    </row>
    <row r="8" spans="1:18" s="25" customFormat="1" ht="15" customHeight="1" x14ac:dyDescent="0.2">
      <c r="A8" s="26">
        <f>IF($B8="","",ROW()-3)</f>
        <v>5</v>
      </c>
      <c r="B8" s="29">
        <f>IF(ISNA($N8),"",$N8)</f>
        <v>31</v>
      </c>
      <c r="C8" s="43" t="str">
        <f>IF(ISNA($N8),"",VLOOKUP($B8,Reg!$M$3:$N$202,2,0))</f>
        <v>Замалдинова Камилла</v>
      </c>
      <c r="D8" s="31">
        <f>IF(ISNA($N8),"",VLOOKUP($B8,Reg!$M$3:$O$202,3,0))</f>
        <v>39269</v>
      </c>
      <c r="E8" s="35">
        <v>106.66800000000001</v>
      </c>
      <c r="F8" s="41">
        <v>1</v>
      </c>
      <c r="G8" s="36">
        <f>IF(ISBLANK($E8),"",IF(ISBLANK($F8),0,$F8*2))</f>
        <v>2</v>
      </c>
      <c r="H8" s="38" t="str">
        <f>IF(ISBLANK($E8),"",TEXT($P8,"###")&amp;IF($P8=0,""," мин ")&amp;TEXT($E8+$G8-$P8*60,"###,###")&amp;" с")</f>
        <v>1 мин 48,668 с</v>
      </c>
      <c r="I8" s="29" t="str">
        <f>IF(ISNA($N8),"",VLOOKUP($B8,Reg!$M$3:$P$200,4,0))</f>
        <v>Ульяновск</v>
      </c>
      <c r="J8" s="46" t="str">
        <f>IF(ISNA($O8),"",IF($O8=0,"",$O8))</f>
        <v xml:space="preserve"> </v>
      </c>
      <c r="K8" s="49">
        <f>IF($E8&gt;0,RANK($Q8,$Q$4:$Q$50,1),"")</f>
        <v>5</v>
      </c>
      <c r="L8" s="27"/>
      <c r="M8" s="27"/>
      <c r="N8" s="24">
        <f>VLOOKUP(7,Reg!$B$2:$M$202,12,0)</f>
        <v>31</v>
      </c>
      <c r="O8" s="25" t="str">
        <f>VLOOKUP($B8,Reg!$M$3:$Q$202,5,0)</f>
        <v xml:space="preserve"> </v>
      </c>
      <c r="P8" s="25">
        <f>INT((E8+G8)/60)</f>
        <v>1</v>
      </c>
      <c r="Q8" s="47">
        <f>IF($E8&gt;0,$E8+$G8,1000)</f>
        <v>108.66800000000001</v>
      </c>
      <c r="R8" s="25">
        <v>7</v>
      </c>
    </row>
    <row r="9" spans="1:18" s="25" customFormat="1" ht="15" customHeight="1" x14ac:dyDescent="0.2">
      <c r="A9" s="26">
        <f>IF($B9="","",ROW()-3)</f>
        <v>6</v>
      </c>
      <c r="B9" s="29">
        <f>IF(ISNA($N9),"",$N9)</f>
        <v>35</v>
      </c>
      <c r="C9" s="43" t="str">
        <f>IF(ISNA($N9),"",VLOOKUP($B9,Reg!$M$3:$N$202,2,0))</f>
        <v>Максимова Олеся</v>
      </c>
      <c r="D9" s="31">
        <f>IF(ISNA($N9),"",VLOOKUP($B9,Reg!$M$3:$O$202,3,0))</f>
        <v>39659</v>
      </c>
      <c r="E9" s="35">
        <v>114.958</v>
      </c>
      <c r="F9" s="41">
        <v>1</v>
      </c>
      <c r="G9" s="36">
        <f>IF(ISBLANK($E9),"",IF(ISBLANK($F9),0,$F9*2))</f>
        <v>2</v>
      </c>
      <c r="H9" s="38" t="str">
        <f>IF(ISBLANK($E9),"",TEXT($P9,"###")&amp;IF($P9=0,""," мин ")&amp;TEXT($E9+$G9-$P9*60,"###,###")&amp;" с")</f>
        <v>1 мин 56,958 с</v>
      </c>
      <c r="I9" s="29" t="str">
        <f>IF(ISNA($N9),"",VLOOKUP($B9,Reg!$M$3:$P$200,4,0))</f>
        <v>Ульяновск</v>
      </c>
      <c r="J9" s="46" t="str">
        <f>IF(ISNA($O9),"",IF($O9=0,"",$O9))</f>
        <v xml:space="preserve"> </v>
      </c>
      <c r="K9" s="49">
        <f>IF($E9&gt;0,RANK($Q9,$Q$4:$Q$50,1),"")</f>
        <v>6</v>
      </c>
      <c r="L9" s="24"/>
      <c r="M9" s="24"/>
      <c r="N9" s="24">
        <f>VLOOKUP(8,Reg!$B$2:$M$202,12,0)</f>
        <v>35</v>
      </c>
      <c r="O9" s="25" t="str">
        <f>VLOOKUP($B9,Reg!$M$3:$Q$202,5,0)</f>
        <v xml:space="preserve"> </v>
      </c>
      <c r="P9" s="25">
        <f>INT((E9+G9)/60)</f>
        <v>1</v>
      </c>
      <c r="Q9" s="47">
        <f>IF($E9&gt;0,$E9+$G9,1000)</f>
        <v>116.958</v>
      </c>
      <c r="R9" s="25">
        <v>8</v>
      </c>
    </row>
    <row r="10" spans="1:18" s="25" customFormat="1" ht="15" customHeight="1" x14ac:dyDescent="0.2">
      <c r="A10" s="26">
        <f>IF($B10="","",ROW()-3)</f>
        <v>7</v>
      </c>
      <c r="B10" s="29">
        <f>IF(ISNA($N10),"",$N10)</f>
        <v>42</v>
      </c>
      <c r="C10" s="43" t="str">
        <f>IF(ISNA($N10),"",VLOOKUP($B10,Reg!$M$3:$N$202,2,0))</f>
        <v>Скворцова Юля</v>
      </c>
      <c r="D10" s="31">
        <f>IF(ISNA($N10),"",VLOOKUP($B10,Reg!$M$3:$O$202,3,0))</f>
        <v>40075</v>
      </c>
      <c r="E10" s="35">
        <v>128.34399999999999</v>
      </c>
      <c r="F10" s="41">
        <v>0</v>
      </c>
      <c r="G10" s="36">
        <f>IF(ISBLANK($E10),"",IF(ISBLANK($F10),0,$F10*2))</f>
        <v>0</v>
      </c>
      <c r="H10" s="38" t="str">
        <f>IF(ISBLANK($E10),"",TEXT($P10,"###")&amp;IF($P10=0,""," мин ")&amp;TEXT($E10+$G10-$P10*60,"###,###")&amp;" с")</f>
        <v>2 мин 8,344 с</v>
      </c>
      <c r="I10" s="29" t="str">
        <f>IF(ISNA($N10),"",VLOOKUP($B10,Reg!$M$3:$P$200,4,0))</f>
        <v>Ульяновск</v>
      </c>
      <c r="J10" s="46" t="str">
        <f>IF(ISNA($O10),"",IF($O10=0,"",$O10))</f>
        <v>UNITY</v>
      </c>
      <c r="K10" s="49">
        <f>IF($E10&gt;0,RANK($Q10,$Q$4:$Q$50,1),"")</f>
        <v>7</v>
      </c>
      <c r="L10" s="27"/>
      <c r="M10" s="27"/>
      <c r="N10" s="24">
        <f>VLOOKUP(9,Reg!$B$2:$M$202,12,0)</f>
        <v>42</v>
      </c>
      <c r="O10" s="25" t="str">
        <f>VLOOKUP($B10,Reg!$M$3:$Q$202,5,0)</f>
        <v>UNITY</v>
      </c>
      <c r="P10" s="25">
        <f>INT((E10+G10)/60)</f>
        <v>2</v>
      </c>
      <c r="Q10" s="47">
        <f>IF($E10&gt;0,$E10+$G10,1000)</f>
        <v>128.34399999999999</v>
      </c>
      <c r="R10" s="25">
        <v>9</v>
      </c>
    </row>
    <row r="11" spans="1:18" s="25" customFormat="1" ht="15" customHeight="1" x14ac:dyDescent="0.2">
      <c r="A11" s="26">
        <f>IF($B11="","",ROW()-3)</f>
        <v>8</v>
      </c>
      <c r="B11" s="29">
        <f>IF(ISNA($N11),"",$N11)</f>
        <v>41</v>
      </c>
      <c r="C11" s="43" t="str">
        <f>IF(ISNA($N11),"",VLOOKUP($B11,Reg!$M$3:$N$202,2,0))</f>
        <v>Бабаева Виктория</v>
      </c>
      <c r="D11" s="31">
        <f>IF(ISNA($N11),"",VLOOKUP($B11,Reg!$M$3:$O$202,3,0))</f>
        <v>39083</v>
      </c>
      <c r="E11" s="35">
        <v>123.29</v>
      </c>
      <c r="F11" s="41">
        <v>3</v>
      </c>
      <c r="G11" s="36">
        <f>IF(ISBLANK($E11),"",IF(ISBLANK($F11),0,$F11*2))</f>
        <v>6</v>
      </c>
      <c r="H11" s="38" t="str">
        <f>IF(ISBLANK($E11),"",TEXT($P11,"###")&amp;IF($P11=0,""," мин ")&amp;TEXT($E11+$G11-$P11*60,"###,###")&amp;" с")</f>
        <v>2 мин 9,29 с</v>
      </c>
      <c r="I11" s="29" t="str">
        <f>IF(ISNA($N11),"",VLOOKUP($B11,Reg!$M$3:$P$200,4,0))</f>
        <v>Ульяновск</v>
      </c>
      <c r="J11" s="46" t="str">
        <f>IF(ISNA($O11),"",IF($O11=0,"",$O11))</f>
        <v xml:space="preserve"> </v>
      </c>
      <c r="K11" s="49">
        <f>IF($E11&gt;0,RANK($Q11,$Q$4:$Q$50,1),"")</f>
        <v>8</v>
      </c>
      <c r="L11" s="24"/>
      <c r="M11" s="24"/>
      <c r="N11" s="24">
        <f>VLOOKUP(2,Reg!$B$2:$M$202,12,0)</f>
        <v>41</v>
      </c>
      <c r="O11" s="25" t="str">
        <f>VLOOKUP($B11,Reg!$M$3:$Q$202,5,0)</f>
        <v xml:space="preserve"> </v>
      </c>
      <c r="P11" s="25">
        <f>INT((E11+G11)/60)</f>
        <v>2</v>
      </c>
      <c r="Q11" s="47">
        <f>IF($E11&gt;0,$E11+$G11,1000)</f>
        <v>129.29000000000002</v>
      </c>
      <c r="R11" s="25">
        <v>2</v>
      </c>
    </row>
    <row r="12" spans="1:18" s="25" customFormat="1" ht="15" customHeight="1" x14ac:dyDescent="0.2">
      <c r="A12" s="26">
        <f>IF($B12="","",ROW()-3)</f>
        <v>9</v>
      </c>
      <c r="B12" s="29">
        <f>IF(ISNA($N12),"",$N12)</f>
        <v>6</v>
      </c>
      <c r="C12" s="43" t="str">
        <f>IF(ISNA($N12),"",VLOOKUP($B12,Reg!$M$3:$N$202,2,0))</f>
        <v>Агапитова Анастасия</v>
      </c>
      <c r="D12" s="31">
        <f>IF(ISNA($N12),"",VLOOKUP($B12,Reg!$M$3:$O$202,3,0))</f>
        <v>39701</v>
      </c>
      <c r="E12" s="35">
        <v>138.83799999999999</v>
      </c>
      <c r="F12" s="41">
        <v>2</v>
      </c>
      <c r="G12" s="36">
        <f>IF(ISBLANK($E12),"",IF(ISBLANK($F12),0,$F12*2))</f>
        <v>4</v>
      </c>
      <c r="H12" s="38" t="str">
        <f>IF(ISBLANK($E12),"",TEXT($P12,"###")&amp;IF($P12=0,""," мин ")&amp;TEXT($E12+$G12-$P12*60,"###,###")&amp;" с")</f>
        <v>2 мин 22,838 с</v>
      </c>
      <c r="I12" s="29" t="str">
        <f>IF(ISNA($N12),"",VLOOKUP($B12,Reg!$M$3:$P$200,4,0))</f>
        <v>Мурманск</v>
      </c>
      <c r="J12" s="46" t="str">
        <f>IF(ISNA($O12),"",IF($O12=0,"",$O12))</f>
        <v xml:space="preserve"> </v>
      </c>
      <c r="K12" s="49">
        <f>IF($E12&gt;0,RANK($Q12,$Q$4:$Q$50,1),"")</f>
        <v>9</v>
      </c>
      <c r="L12" s="27"/>
      <c r="M12" s="27"/>
      <c r="N12" s="24">
        <f>VLOOKUP(1,Reg!$B$2:$M$202,12,0)</f>
        <v>6</v>
      </c>
      <c r="O12" s="25" t="str">
        <f>VLOOKUP($B12,Reg!$M$3:$Q$202,5,0)</f>
        <v xml:space="preserve"> </v>
      </c>
      <c r="P12" s="25">
        <f>INT((E12+G12)/60)</f>
        <v>2</v>
      </c>
      <c r="Q12" s="47">
        <f>IF($E12&gt;0,$E12+$G12,1000)</f>
        <v>142.83799999999999</v>
      </c>
      <c r="R12" s="25">
        <v>1</v>
      </c>
    </row>
    <row r="13" spans="1:18" ht="15" customHeight="1" x14ac:dyDescent="0.2">
      <c r="A13" s="26" t="str">
        <f t="shared" ref="A8:A16" si="0">IF($B13="","",ROW()-3)</f>
        <v/>
      </c>
      <c r="B13" s="29" t="str">
        <f t="shared" ref="B8:B16" si="1">IF(ISNA($N13),"",$N13)</f>
        <v/>
      </c>
      <c r="C13" s="43" t="str">
        <f>IF(ISNA($N13),"",VLOOKUP($B13,Reg!$M$3:$N$202,2,0))</f>
        <v/>
      </c>
      <c r="D13" s="31" t="str">
        <f>IF(ISNA($N13),"",VLOOKUP($B13,Reg!$M$3:$O$202,3,0))</f>
        <v/>
      </c>
      <c r="E13" s="35"/>
      <c r="F13" s="41"/>
      <c r="G13" s="36" t="str">
        <f t="shared" ref="G8:G16" si="2">IF(ISBLANK($E13),"",IF(ISBLANK($F13),0,$F13*2))</f>
        <v/>
      </c>
      <c r="H13" s="38" t="str">
        <f t="shared" ref="H8:H16" si="3">IF(ISBLANK($E13),"",TEXT($P13,"###")&amp;IF($P13=0,""," мин ")&amp;TEXT($E13+$G13-$P13*60,"###,###")&amp;" с")</f>
        <v/>
      </c>
      <c r="I13" s="29" t="str">
        <f>IF(ISNA($N13),"",VLOOKUP($B13,Reg!$M$3:$P$200,4,0))</f>
        <v/>
      </c>
      <c r="J13" s="46" t="str">
        <f t="shared" ref="J8:J16" si="4">IF(ISNA($O13),"",IF($O13=0,"",$O13))</f>
        <v/>
      </c>
      <c r="K13" s="49" t="str">
        <f t="shared" ref="K8:K16" si="5">IF($E13&gt;0,RANK($Q13,$Q$4:$Q$50,1),"")</f>
        <v/>
      </c>
      <c r="L13" s="27"/>
      <c r="M13" s="27"/>
      <c r="N13" s="24" t="e">
        <f>VLOOKUP(10,Reg!$B$2:$M$202,12,0)</f>
        <v>#N/A</v>
      </c>
      <c r="O13" s="25" t="e">
        <f>VLOOKUP($B13,Reg!$M$3:$Q$202,5,0)</f>
        <v>#N/A</v>
      </c>
      <c r="P13" s="25" t="e">
        <f t="shared" ref="P8:P16" si="6">INT((E13+G13)/60)</f>
        <v>#VALUE!</v>
      </c>
      <c r="Q13" s="47">
        <f t="shared" ref="Q8:Q16" si="7">IF($E13&gt;0,$E13+$G13,1000)</f>
        <v>1000</v>
      </c>
      <c r="R13" s="54">
        <v>10</v>
      </c>
    </row>
    <row r="14" spans="1:18" ht="15" customHeight="1" x14ac:dyDescent="0.2">
      <c r="A14" s="26" t="str">
        <f t="shared" si="0"/>
        <v/>
      </c>
      <c r="B14" s="29" t="str">
        <f t="shared" si="1"/>
        <v/>
      </c>
      <c r="C14" s="43" t="str">
        <f>IF(ISNA($N14),"",VLOOKUP($B14,Reg!$M$3:$N$202,2,0))</f>
        <v/>
      </c>
      <c r="D14" s="31" t="str">
        <f>IF(ISNA($N14),"",VLOOKUP($B14,Reg!$M$3:$O$202,3,0))</f>
        <v/>
      </c>
      <c r="E14" s="35"/>
      <c r="F14" s="41"/>
      <c r="G14" s="36" t="str">
        <f t="shared" si="2"/>
        <v/>
      </c>
      <c r="H14" s="38" t="str">
        <f t="shared" si="3"/>
        <v/>
      </c>
      <c r="I14" s="29" t="str">
        <f>IF(ISNA($N14),"",VLOOKUP($B14,Reg!$M$3:$P$200,4,0))</f>
        <v/>
      </c>
      <c r="J14" s="46" t="str">
        <f t="shared" si="4"/>
        <v/>
      </c>
      <c r="K14" s="49" t="str">
        <f t="shared" si="5"/>
        <v/>
      </c>
      <c r="L14" s="27"/>
      <c r="M14" s="27"/>
      <c r="N14" s="24" t="e">
        <f>VLOOKUP(11,Reg!$B$2:$M$202,12,0)</f>
        <v>#N/A</v>
      </c>
      <c r="O14" s="25" t="e">
        <f>VLOOKUP($B14,Reg!$M$3:$Q$202,5,0)</f>
        <v>#N/A</v>
      </c>
      <c r="P14" s="25" t="e">
        <f t="shared" si="6"/>
        <v>#VALUE!</v>
      </c>
      <c r="Q14" s="47">
        <f t="shared" si="7"/>
        <v>1000</v>
      </c>
      <c r="R14" s="54">
        <v>11</v>
      </c>
    </row>
    <row r="15" spans="1:18" x14ac:dyDescent="0.2">
      <c r="A15" s="26" t="str">
        <f t="shared" si="0"/>
        <v/>
      </c>
      <c r="B15" s="29" t="str">
        <f t="shared" si="1"/>
        <v/>
      </c>
      <c r="C15" s="43" t="str">
        <f>IF(ISNA($N15),"",VLOOKUP($B15,Reg!$M$3:$N$202,2,0))</f>
        <v/>
      </c>
      <c r="D15" s="31" t="str">
        <f>IF(ISNA($N15),"",VLOOKUP($B15,Reg!$M$3:$O$202,3,0))</f>
        <v/>
      </c>
      <c r="E15" s="35"/>
      <c r="F15" s="41"/>
      <c r="G15" s="36" t="str">
        <f t="shared" si="2"/>
        <v/>
      </c>
      <c r="H15" s="38" t="str">
        <f t="shared" si="3"/>
        <v/>
      </c>
      <c r="I15" s="29" t="str">
        <f>IF(ISNA($N15),"",VLOOKUP($B15,Reg!$M$3:$P$200,4,0))</f>
        <v/>
      </c>
      <c r="J15" s="46" t="str">
        <f t="shared" si="4"/>
        <v/>
      </c>
      <c r="K15" s="49" t="str">
        <f t="shared" si="5"/>
        <v/>
      </c>
      <c r="L15" s="27"/>
      <c r="M15" s="27"/>
      <c r="N15" s="24" t="e">
        <f>VLOOKUP(12,Reg!$B$2:$M$202,12,0)</f>
        <v>#N/A</v>
      </c>
      <c r="O15" s="25" t="e">
        <f>VLOOKUP($B15,Reg!$M$3:$Q$202,5,0)</f>
        <v>#N/A</v>
      </c>
      <c r="P15" s="25" t="e">
        <f t="shared" si="6"/>
        <v>#VALUE!</v>
      </c>
      <c r="Q15" s="47">
        <f t="shared" si="7"/>
        <v>1000</v>
      </c>
      <c r="R15" s="54">
        <v>12</v>
      </c>
    </row>
    <row r="16" spans="1:18" ht="15" customHeight="1" x14ac:dyDescent="0.2">
      <c r="A16" s="26" t="str">
        <f t="shared" si="0"/>
        <v/>
      </c>
      <c r="B16" s="29" t="str">
        <f t="shared" si="1"/>
        <v/>
      </c>
      <c r="C16" s="43" t="str">
        <f>IF(ISNA($N16),"",VLOOKUP($B16,Reg!$M$3:$N$202,2,0))</f>
        <v/>
      </c>
      <c r="D16" s="31" t="str">
        <f>IF(ISNA($N16),"",VLOOKUP($B16,Reg!$M$3:$O$202,3,0))</f>
        <v/>
      </c>
      <c r="E16" s="35"/>
      <c r="F16" s="41"/>
      <c r="G16" s="36" t="str">
        <f t="shared" si="2"/>
        <v/>
      </c>
      <c r="H16" s="38" t="str">
        <f t="shared" si="3"/>
        <v/>
      </c>
      <c r="I16" s="29" t="str">
        <f>IF(ISNA($N16),"",VLOOKUP($B16,Reg!$M$3:$P$200,4,0))</f>
        <v/>
      </c>
      <c r="J16" s="46" t="str">
        <f t="shared" si="4"/>
        <v/>
      </c>
      <c r="K16" s="49" t="str">
        <f t="shared" si="5"/>
        <v/>
      </c>
      <c r="L16" s="24"/>
      <c r="M16" s="24"/>
      <c r="N16" s="24" t="e">
        <f>VLOOKUP(13,Reg!$B$2:$M$202,12,0)</f>
        <v>#N/A</v>
      </c>
      <c r="O16" s="25" t="e">
        <f>VLOOKUP($B16,Reg!$M$3:$Q$202,5,0)</f>
        <v>#N/A</v>
      </c>
      <c r="P16" s="25" t="e">
        <f t="shared" si="6"/>
        <v>#VALUE!</v>
      </c>
      <c r="Q16" s="47">
        <f t="shared" si="7"/>
        <v>1000</v>
      </c>
      <c r="R16" s="54">
        <v>13</v>
      </c>
    </row>
    <row r="17" spans="1:18" ht="17.25" customHeight="1" x14ac:dyDescent="0.2">
      <c r="A17" s="26" t="str">
        <f t="shared" ref="A17:A49" si="8">IF($B17="","",ROW()-3)</f>
        <v/>
      </c>
      <c r="B17" s="29" t="str">
        <f t="shared" ref="B17:B49" si="9">IF(ISNA($N17),"",$N17)</f>
        <v/>
      </c>
      <c r="C17" s="43" t="str">
        <f>IF(ISNA($N17),"",VLOOKUP($B17,Reg!$M$3:$N$202,2,0))</f>
        <v/>
      </c>
      <c r="D17" s="31" t="str">
        <f>IF(ISNA($N17),"",VLOOKUP($B17,Reg!$M$3:$O$202,3,0))</f>
        <v/>
      </c>
      <c r="E17" s="35"/>
      <c r="F17" s="41"/>
      <c r="G17" s="36" t="str">
        <f t="shared" ref="G17:G49" si="10">IF(ISBLANK($E17),"",IF(ISBLANK($F17),0,$F17*2))</f>
        <v/>
      </c>
      <c r="H17" s="38" t="str">
        <f t="shared" ref="H17:H49" si="11">IF(ISBLANK($E17),"",TEXT($P17,"###")&amp;IF($P17=0,""," мин ")&amp;TEXT($E17+$G17-$P17*60,"###,###")&amp;" с")</f>
        <v/>
      </c>
      <c r="I17" s="29" t="str">
        <f>IF(ISNA($N17),"",VLOOKUP($B17,Reg!$M$3:$P$200,4,0))</f>
        <v/>
      </c>
      <c r="J17" s="46" t="str">
        <f t="shared" ref="J17:J49" si="12">IF(ISNA($O17),"",IF($O17=0,"",$O17))</f>
        <v/>
      </c>
      <c r="K17" s="49" t="str">
        <f t="shared" ref="K17:K49" si="13">IF($E17&gt;0,RANK($Q17,$Q$4:$Q$50,1),"")</f>
        <v/>
      </c>
      <c r="L17" s="24"/>
      <c r="M17" s="24"/>
      <c r="N17" s="24" t="e">
        <f>VLOOKUP(14,Reg!$B$2:$M$202,12,0)</f>
        <v>#N/A</v>
      </c>
      <c r="O17" s="25" t="e">
        <f>VLOOKUP($B17,Reg!$M$3:$Q$202,5,0)</f>
        <v>#N/A</v>
      </c>
      <c r="P17" s="25" t="e">
        <f t="shared" ref="P17:P49" si="14">INT((E17+G17)/60)</f>
        <v>#VALUE!</v>
      </c>
      <c r="Q17" s="47">
        <f t="shared" ref="Q17:Q49" si="15">IF($E17&gt;0,$E17+$G17,1000)</f>
        <v>1000</v>
      </c>
      <c r="R17" s="54">
        <v>14</v>
      </c>
    </row>
    <row r="18" spans="1:18" ht="15" customHeight="1" x14ac:dyDescent="0.2">
      <c r="A18" s="26" t="str">
        <f t="shared" si="8"/>
        <v/>
      </c>
      <c r="B18" s="29" t="str">
        <f t="shared" si="9"/>
        <v/>
      </c>
      <c r="C18" s="43" t="str">
        <f>IF(ISNA($N18),"",VLOOKUP($B18,Reg!$M$3:$N$202,2,0))</f>
        <v/>
      </c>
      <c r="D18" s="31" t="str">
        <f>IF(ISNA($N18),"",VLOOKUP($B18,Reg!$M$3:$O$202,3,0))</f>
        <v/>
      </c>
      <c r="E18" s="35"/>
      <c r="F18" s="41"/>
      <c r="G18" s="36" t="str">
        <f t="shared" si="10"/>
        <v/>
      </c>
      <c r="H18" s="38" t="str">
        <f t="shared" si="11"/>
        <v/>
      </c>
      <c r="I18" s="29" t="str">
        <f>IF(ISNA($N18),"",VLOOKUP($B18,Reg!$M$3:$P$200,4,0))</f>
        <v/>
      </c>
      <c r="J18" s="46" t="str">
        <f t="shared" si="12"/>
        <v/>
      </c>
      <c r="K18" s="49" t="str">
        <f t="shared" si="13"/>
        <v/>
      </c>
      <c r="L18" s="24"/>
      <c r="M18" s="24"/>
      <c r="N18" s="24" t="e">
        <f>VLOOKUP(15,Reg!$B$2:$M$202,12,0)</f>
        <v>#N/A</v>
      </c>
      <c r="O18" s="25" t="e">
        <f>VLOOKUP($B18,Reg!$M$3:$Q$202,5,0)</f>
        <v>#N/A</v>
      </c>
      <c r="P18" s="25" t="e">
        <f t="shared" si="14"/>
        <v>#VALUE!</v>
      </c>
      <c r="Q18" s="47">
        <f t="shared" si="15"/>
        <v>1000</v>
      </c>
      <c r="R18" s="54">
        <v>15</v>
      </c>
    </row>
    <row r="19" spans="1:18" ht="18.75" customHeight="1" x14ac:dyDescent="0.2">
      <c r="A19" s="26" t="str">
        <f t="shared" si="8"/>
        <v/>
      </c>
      <c r="B19" s="29" t="str">
        <f t="shared" si="9"/>
        <v/>
      </c>
      <c r="C19" s="43" t="str">
        <f>IF(ISNA($N19),"",VLOOKUP($B19,Reg!$M$3:$N$202,2,0))</f>
        <v/>
      </c>
      <c r="D19" s="31" t="str">
        <f>IF(ISNA($N19),"",VLOOKUP($B19,Reg!$M$3:$O$202,3,0))</f>
        <v/>
      </c>
      <c r="E19" s="35"/>
      <c r="F19" s="41"/>
      <c r="G19" s="36" t="str">
        <f t="shared" si="10"/>
        <v/>
      </c>
      <c r="H19" s="38" t="str">
        <f t="shared" si="11"/>
        <v/>
      </c>
      <c r="I19" s="29" t="str">
        <f>IF(ISNA($N19),"",VLOOKUP($B19,Reg!$M$3:$P$200,4,0))</f>
        <v/>
      </c>
      <c r="J19" s="46" t="str">
        <f t="shared" si="12"/>
        <v/>
      </c>
      <c r="K19" s="49" t="str">
        <f t="shared" si="13"/>
        <v/>
      </c>
      <c r="L19" s="24"/>
      <c r="M19" s="24"/>
      <c r="N19" s="24" t="e">
        <f>VLOOKUP(16,Reg!$B$2:$M$202,12,0)</f>
        <v>#N/A</v>
      </c>
      <c r="O19" s="25" t="e">
        <f>VLOOKUP($B19,Reg!$M$3:$Q$202,5,0)</f>
        <v>#N/A</v>
      </c>
      <c r="P19" s="25" t="e">
        <f t="shared" si="14"/>
        <v>#VALUE!</v>
      </c>
      <c r="Q19" s="47">
        <f t="shared" si="15"/>
        <v>1000</v>
      </c>
      <c r="R19" s="54">
        <v>16</v>
      </c>
    </row>
    <row r="20" spans="1:18" x14ac:dyDescent="0.2">
      <c r="A20" s="26" t="str">
        <f t="shared" si="8"/>
        <v/>
      </c>
      <c r="B20" s="29" t="str">
        <f t="shared" si="9"/>
        <v/>
      </c>
      <c r="C20" s="43" t="str">
        <f>IF(ISNA($N20),"",VLOOKUP($B20,Reg!$M$3:$N$202,2,0))</f>
        <v/>
      </c>
      <c r="D20" s="31" t="str">
        <f>IF(ISNA($N20),"",VLOOKUP($B20,Reg!$M$3:$O$202,3,0))</f>
        <v/>
      </c>
      <c r="E20" s="35"/>
      <c r="F20" s="41"/>
      <c r="G20" s="36" t="str">
        <f t="shared" si="10"/>
        <v/>
      </c>
      <c r="H20" s="38" t="str">
        <f t="shared" si="11"/>
        <v/>
      </c>
      <c r="I20" s="29" t="str">
        <f>IF(ISNA($N20),"",VLOOKUP($B20,Reg!$M$3:$P$200,4,0))</f>
        <v/>
      </c>
      <c r="J20" s="46" t="str">
        <f t="shared" si="12"/>
        <v/>
      </c>
      <c r="K20" s="49" t="str">
        <f t="shared" si="13"/>
        <v/>
      </c>
      <c r="L20" s="27"/>
      <c r="M20" s="27"/>
      <c r="N20" s="24" t="e">
        <f>VLOOKUP(17,Reg!$B$2:$M$202,12,0)</f>
        <v>#N/A</v>
      </c>
      <c r="O20" s="25" t="e">
        <f>VLOOKUP($B20,Reg!$M$3:$Q$202,5,0)</f>
        <v>#N/A</v>
      </c>
      <c r="P20" s="25" t="e">
        <f t="shared" si="14"/>
        <v>#VALUE!</v>
      </c>
      <c r="Q20" s="47">
        <f t="shared" si="15"/>
        <v>1000</v>
      </c>
      <c r="R20" s="54">
        <v>17</v>
      </c>
    </row>
    <row r="21" spans="1:18" x14ac:dyDescent="0.2">
      <c r="A21" s="26" t="str">
        <f t="shared" si="8"/>
        <v/>
      </c>
      <c r="B21" s="29" t="str">
        <f t="shared" si="9"/>
        <v/>
      </c>
      <c r="C21" s="43" t="str">
        <f>IF(ISNA($N21),"",VLOOKUP($B21,Reg!$M$3:$N$202,2,0))</f>
        <v/>
      </c>
      <c r="D21" s="31" t="str">
        <f>IF(ISNA($N21),"",VLOOKUP($B21,Reg!$M$3:$O$202,3,0))</f>
        <v/>
      </c>
      <c r="E21" s="35"/>
      <c r="F21" s="41"/>
      <c r="G21" s="36" t="str">
        <f t="shared" si="10"/>
        <v/>
      </c>
      <c r="H21" s="38" t="str">
        <f t="shared" si="11"/>
        <v/>
      </c>
      <c r="I21" s="29" t="str">
        <f>IF(ISNA($N21),"",VLOOKUP($B21,Reg!$M$3:$P$200,4,0))</f>
        <v/>
      </c>
      <c r="J21" s="46" t="str">
        <f t="shared" si="12"/>
        <v/>
      </c>
      <c r="K21" s="49" t="str">
        <f t="shared" si="13"/>
        <v/>
      </c>
      <c r="L21" s="27"/>
      <c r="M21" s="27"/>
      <c r="N21" s="24" t="e">
        <f>VLOOKUP(18,Reg!$B$2:$M$202,12,0)</f>
        <v>#N/A</v>
      </c>
      <c r="O21" s="25" t="e">
        <f>VLOOKUP($B21,Reg!$M$3:$Q$202,5,0)</f>
        <v>#N/A</v>
      </c>
      <c r="P21" s="25" t="e">
        <f t="shared" si="14"/>
        <v>#VALUE!</v>
      </c>
      <c r="Q21" s="47">
        <f t="shared" si="15"/>
        <v>1000</v>
      </c>
      <c r="R21" s="54">
        <v>18</v>
      </c>
    </row>
    <row r="22" spans="1:18" x14ac:dyDescent="0.2">
      <c r="A22" s="26" t="str">
        <f t="shared" si="8"/>
        <v/>
      </c>
      <c r="B22" s="29" t="str">
        <f t="shared" si="9"/>
        <v/>
      </c>
      <c r="C22" s="43" t="str">
        <f>IF(ISNA($N22),"",VLOOKUP($B22,Reg!$M$3:$N$202,2,0))</f>
        <v/>
      </c>
      <c r="D22" s="31" t="str">
        <f>IF(ISNA($N22),"",VLOOKUP($B22,Reg!$M$3:$O$202,3,0))</f>
        <v/>
      </c>
      <c r="E22" s="35"/>
      <c r="F22" s="41"/>
      <c r="G22" s="36" t="str">
        <f t="shared" si="10"/>
        <v/>
      </c>
      <c r="H22" s="38" t="str">
        <f t="shared" si="11"/>
        <v/>
      </c>
      <c r="I22" s="29" t="str">
        <f>IF(ISNA($N22),"",VLOOKUP($B22,Reg!$M$3:$P$200,4,0))</f>
        <v/>
      </c>
      <c r="J22" s="46" t="str">
        <f t="shared" si="12"/>
        <v/>
      </c>
      <c r="K22" s="49" t="str">
        <f t="shared" si="13"/>
        <v/>
      </c>
      <c r="L22" s="27"/>
      <c r="M22" s="27"/>
      <c r="N22" s="24" t="e">
        <f>VLOOKUP(19,Reg!$B$2:$M$202,12,0)</f>
        <v>#N/A</v>
      </c>
      <c r="O22" s="25" t="e">
        <f>VLOOKUP($B22,Reg!$M$3:$Q$202,5,0)</f>
        <v>#N/A</v>
      </c>
      <c r="P22" s="25" t="e">
        <f t="shared" si="14"/>
        <v>#VALUE!</v>
      </c>
      <c r="Q22" s="47">
        <f t="shared" si="15"/>
        <v>1000</v>
      </c>
      <c r="R22" s="54">
        <v>19</v>
      </c>
    </row>
    <row r="23" spans="1:18" x14ac:dyDescent="0.2">
      <c r="A23" s="26" t="str">
        <f t="shared" si="8"/>
        <v/>
      </c>
      <c r="B23" s="29" t="str">
        <f t="shared" si="9"/>
        <v/>
      </c>
      <c r="C23" s="43" t="str">
        <f>IF(ISNA($N23),"",VLOOKUP($B23,Reg!$M$3:$N$202,2,0))</f>
        <v/>
      </c>
      <c r="D23" s="31" t="str">
        <f>IF(ISNA($N23),"",VLOOKUP($B23,Reg!$M$3:$O$202,3,0))</f>
        <v/>
      </c>
      <c r="E23" s="35"/>
      <c r="F23" s="41"/>
      <c r="G23" s="36" t="str">
        <f t="shared" si="10"/>
        <v/>
      </c>
      <c r="H23" s="38" t="str">
        <f t="shared" si="11"/>
        <v/>
      </c>
      <c r="I23" s="29" t="str">
        <f>IF(ISNA($N23),"",VLOOKUP($B23,Reg!$M$3:$P$200,4,0))</f>
        <v/>
      </c>
      <c r="J23" s="46" t="str">
        <f t="shared" si="12"/>
        <v/>
      </c>
      <c r="K23" s="49" t="str">
        <f t="shared" si="13"/>
        <v/>
      </c>
      <c r="L23" s="27"/>
      <c r="M23" s="27"/>
      <c r="N23" s="24" t="e">
        <f>VLOOKUP(20,Reg!$B$2:$M$202,12,0)</f>
        <v>#N/A</v>
      </c>
      <c r="O23" s="25" t="e">
        <f>VLOOKUP($B23,Reg!$M$3:$Q$202,5,0)</f>
        <v>#N/A</v>
      </c>
      <c r="P23" s="25" t="e">
        <f t="shared" si="14"/>
        <v>#VALUE!</v>
      </c>
      <c r="Q23" s="47">
        <f t="shared" si="15"/>
        <v>1000</v>
      </c>
      <c r="R23" s="54">
        <v>20</v>
      </c>
    </row>
    <row r="24" spans="1:18" x14ac:dyDescent="0.2">
      <c r="A24" s="26" t="str">
        <f t="shared" si="8"/>
        <v/>
      </c>
      <c r="B24" s="29" t="str">
        <f t="shared" si="9"/>
        <v/>
      </c>
      <c r="C24" s="43" t="str">
        <f>IF(ISNA($N24),"",VLOOKUP($B24,Reg!$M$3:$N$202,2,0))</f>
        <v/>
      </c>
      <c r="D24" s="31" t="str">
        <f>IF(ISNA($N24),"",VLOOKUP($B24,Reg!$M$3:$O$202,3,0))</f>
        <v/>
      </c>
      <c r="E24" s="35"/>
      <c r="F24" s="41"/>
      <c r="G24" s="36" t="str">
        <f t="shared" si="10"/>
        <v/>
      </c>
      <c r="H24" s="38" t="str">
        <f t="shared" si="11"/>
        <v/>
      </c>
      <c r="I24" s="29" t="str">
        <f>IF(ISNA($N24),"",VLOOKUP($B24,Reg!$M$3:$P$200,4,0))</f>
        <v/>
      </c>
      <c r="J24" s="46" t="str">
        <f t="shared" si="12"/>
        <v/>
      </c>
      <c r="K24" s="49" t="str">
        <f t="shared" si="13"/>
        <v/>
      </c>
      <c r="L24" s="27"/>
      <c r="M24" s="27"/>
      <c r="N24" s="24" t="e">
        <f>VLOOKUP(21,Reg!$B$2:$M$202,12,0)</f>
        <v>#N/A</v>
      </c>
      <c r="O24" s="25" t="e">
        <f>VLOOKUP($B24,Reg!$M$3:$Q$202,5,0)</f>
        <v>#N/A</v>
      </c>
      <c r="P24" s="25" t="e">
        <f t="shared" si="14"/>
        <v>#VALUE!</v>
      </c>
      <c r="Q24" s="47">
        <f t="shared" si="15"/>
        <v>1000</v>
      </c>
      <c r="R24" s="54">
        <v>21</v>
      </c>
    </row>
    <row r="25" spans="1:18" x14ac:dyDescent="0.2">
      <c r="A25" s="26" t="str">
        <f t="shared" si="8"/>
        <v/>
      </c>
      <c r="B25" s="29" t="str">
        <f t="shared" si="9"/>
        <v/>
      </c>
      <c r="C25" s="43" t="str">
        <f>IF(ISNA($N25),"",VLOOKUP($B25,Reg!$M$3:$N$202,2,0))</f>
        <v/>
      </c>
      <c r="D25" s="31" t="str">
        <f>IF(ISNA($N25),"",VLOOKUP($B25,Reg!$M$3:$O$202,3,0))</f>
        <v/>
      </c>
      <c r="E25" s="35"/>
      <c r="F25" s="41"/>
      <c r="G25" s="36" t="str">
        <f t="shared" si="10"/>
        <v/>
      </c>
      <c r="H25" s="38" t="str">
        <f t="shared" si="11"/>
        <v/>
      </c>
      <c r="I25" s="29" t="str">
        <f>IF(ISNA($N25),"",VLOOKUP($B25,Reg!$M$3:$P$200,4,0))</f>
        <v/>
      </c>
      <c r="J25" s="46" t="str">
        <f t="shared" si="12"/>
        <v/>
      </c>
      <c r="K25" s="49" t="str">
        <f t="shared" si="13"/>
        <v/>
      </c>
      <c r="L25" s="27"/>
      <c r="M25" s="27"/>
      <c r="N25" s="24" t="e">
        <f>VLOOKUP(22,Reg!$B$2:$M$202,12,0)</f>
        <v>#N/A</v>
      </c>
      <c r="O25" s="25" t="e">
        <f>VLOOKUP($B25,Reg!$M$3:$Q$202,5,0)</f>
        <v>#N/A</v>
      </c>
      <c r="P25" s="25" t="e">
        <f t="shared" si="14"/>
        <v>#VALUE!</v>
      </c>
      <c r="Q25" s="47">
        <f t="shared" si="15"/>
        <v>1000</v>
      </c>
      <c r="R25" s="54">
        <v>22</v>
      </c>
    </row>
    <row r="26" spans="1:18" x14ac:dyDescent="0.2">
      <c r="A26" s="26" t="str">
        <f t="shared" si="8"/>
        <v/>
      </c>
      <c r="B26" s="29" t="str">
        <f t="shared" si="9"/>
        <v/>
      </c>
      <c r="C26" s="43" t="str">
        <f>IF(ISNA($N26),"",VLOOKUP($B26,Reg!$M$3:$N$202,2,0))</f>
        <v/>
      </c>
      <c r="D26" s="31" t="str">
        <f>IF(ISNA($N26),"",VLOOKUP($B26,Reg!$M$3:$O$202,3,0))</f>
        <v/>
      </c>
      <c r="E26" s="35"/>
      <c r="F26" s="41"/>
      <c r="G26" s="36" t="str">
        <f t="shared" si="10"/>
        <v/>
      </c>
      <c r="H26" s="38" t="str">
        <f t="shared" si="11"/>
        <v/>
      </c>
      <c r="I26" s="29" t="str">
        <f>IF(ISNA($N26),"",VLOOKUP($B26,Reg!$M$3:$P$200,4,0))</f>
        <v/>
      </c>
      <c r="J26" s="46" t="str">
        <f t="shared" si="12"/>
        <v/>
      </c>
      <c r="K26" s="49" t="str">
        <f t="shared" si="13"/>
        <v/>
      </c>
      <c r="L26" s="27"/>
      <c r="M26" s="27"/>
      <c r="N26" s="24" t="e">
        <f>VLOOKUP(23,Reg!$B$2:$M$202,12,0)</f>
        <v>#N/A</v>
      </c>
      <c r="O26" s="25" t="e">
        <f>VLOOKUP($B26,Reg!$M$3:$Q$202,5,0)</f>
        <v>#N/A</v>
      </c>
      <c r="P26" s="25" t="e">
        <f t="shared" si="14"/>
        <v>#VALUE!</v>
      </c>
      <c r="Q26" s="47">
        <f t="shared" si="15"/>
        <v>1000</v>
      </c>
      <c r="R26" s="54">
        <v>23</v>
      </c>
    </row>
    <row r="27" spans="1:18" x14ac:dyDescent="0.2">
      <c r="A27" s="26" t="str">
        <f t="shared" si="8"/>
        <v/>
      </c>
      <c r="B27" s="29" t="str">
        <f t="shared" si="9"/>
        <v/>
      </c>
      <c r="C27" s="43" t="str">
        <f>IF(ISNA($N27),"",VLOOKUP($B27,Reg!$M$3:$N$202,2,0))</f>
        <v/>
      </c>
      <c r="D27" s="31" t="str">
        <f>IF(ISNA($N27),"",VLOOKUP($B27,Reg!$M$3:$O$202,3,0))</f>
        <v/>
      </c>
      <c r="E27" s="35"/>
      <c r="F27" s="41"/>
      <c r="G27" s="36" t="str">
        <f t="shared" si="10"/>
        <v/>
      </c>
      <c r="H27" s="38" t="str">
        <f t="shared" si="11"/>
        <v/>
      </c>
      <c r="I27" s="29" t="str">
        <f>IF(ISNA($N27),"",VLOOKUP($B27,Reg!$M$3:$P$200,4,0))</f>
        <v/>
      </c>
      <c r="J27" s="46" t="str">
        <f t="shared" si="12"/>
        <v/>
      </c>
      <c r="K27" s="49" t="str">
        <f t="shared" si="13"/>
        <v/>
      </c>
      <c r="L27" s="27"/>
      <c r="M27" s="27"/>
      <c r="N27" s="24" t="e">
        <f>VLOOKUP(24,Reg!$B$2:$M$202,12,0)</f>
        <v>#N/A</v>
      </c>
      <c r="O27" s="25" t="e">
        <f>VLOOKUP($B27,Reg!$M$3:$Q$202,5,0)</f>
        <v>#N/A</v>
      </c>
      <c r="P27" s="25" t="e">
        <f t="shared" si="14"/>
        <v>#VALUE!</v>
      </c>
      <c r="Q27" s="47">
        <f t="shared" si="15"/>
        <v>1000</v>
      </c>
      <c r="R27" s="54">
        <v>24</v>
      </c>
    </row>
    <row r="28" spans="1:18" x14ac:dyDescent="0.2">
      <c r="A28" s="26" t="str">
        <f t="shared" si="8"/>
        <v/>
      </c>
      <c r="B28" s="29" t="str">
        <f t="shared" si="9"/>
        <v/>
      </c>
      <c r="C28" s="43" t="str">
        <f>IF(ISNA($N28),"",VLOOKUP($B28,Reg!$M$3:$N$202,2,0))</f>
        <v/>
      </c>
      <c r="D28" s="31" t="str">
        <f>IF(ISNA($N28),"",VLOOKUP($B28,Reg!$M$3:$O$202,3,0))</f>
        <v/>
      </c>
      <c r="E28" s="35"/>
      <c r="F28" s="41"/>
      <c r="G28" s="36" t="str">
        <f t="shared" si="10"/>
        <v/>
      </c>
      <c r="H28" s="38" t="str">
        <f t="shared" si="11"/>
        <v/>
      </c>
      <c r="I28" s="29" t="str">
        <f>IF(ISNA($N28),"",VLOOKUP($B28,Reg!$M$3:$P$200,4,0))</f>
        <v/>
      </c>
      <c r="J28" s="46" t="str">
        <f t="shared" si="12"/>
        <v/>
      </c>
      <c r="K28" s="49" t="str">
        <f t="shared" si="13"/>
        <v/>
      </c>
      <c r="L28" s="27"/>
      <c r="M28" s="27"/>
      <c r="N28" s="24" t="e">
        <f>VLOOKUP(25,Reg!$B$2:$M$202,12,0)</f>
        <v>#N/A</v>
      </c>
      <c r="O28" s="25" t="e">
        <f>VLOOKUP($B28,Reg!$M$3:$Q$202,5,0)</f>
        <v>#N/A</v>
      </c>
      <c r="P28" s="25" t="e">
        <f t="shared" si="14"/>
        <v>#VALUE!</v>
      </c>
      <c r="Q28" s="47">
        <f t="shared" si="15"/>
        <v>1000</v>
      </c>
      <c r="R28" s="54">
        <v>25</v>
      </c>
    </row>
    <row r="29" spans="1:18" x14ac:dyDescent="0.2">
      <c r="A29" s="26" t="str">
        <f t="shared" si="8"/>
        <v/>
      </c>
      <c r="B29" s="29" t="str">
        <f t="shared" si="9"/>
        <v/>
      </c>
      <c r="C29" s="43" t="str">
        <f>IF(ISNA($N29),"",VLOOKUP($B29,Reg!$M$3:$N$202,2,0))</f>
        <v/>
      </c>
      <c r="D29" s="31" t="str">
        <f>IF(ISNA($N29),"",VLOOKUP($B29,Reg!$M$3:$O$202,3,0))</f>
        <v/>
      </c>
      <c r="E29" s="35"/>
      <c r="F29" s="41"/>
      <c r="G29" s="36" t="str">
        <f t="shared" si="10"/>
        <v/>
      </c>
      <c r="H29" s="38" t="str">
        <f t="shared" si="11"/>
        <v/>
      </c>
      <c r="I29" s="29" t="str">
        <f>IF(ISNA($N29),"",VLOOKUP($B29,Reg!$M$3:$P$200,4,0))</f>
        <v/>
      </c>
      <c r="J29" s="46" t="str">
        <f t="shared" si="12"/>
        <v/>
      </c>
      <c r="K29" s="49" t="str">
        <f t="shared" si="13"/>
        <v/>
      </c>
      <c r="L29" s="27"/>
      <c r="M29" s="27"/>
      <c r="N29" s="24" t="e">
        <f>VLOOKUP(26,Reg!$B$2:$M$202,12,0)</f>
        <v>#N/A</v>
      </c>
      <c r="O29" s="25" t="e">
        <f>VLOOKUP($B29,Reg!$M$3:$Q$202,5,0)</f>
        <v>#N/A</v>
      </c>
      <c r="P29" s="25" t="e">
        <f t="shared" si="14"/>
        <v>#VALUE!</v>
      </c>
      <c r="Q29" s="47">
        <f t="shared" si="15"/>
        <v>1000</v>
      </c>
      <c r="R29" s="54">
        <v>26</v>
      </c>
    </row>
    <row r="30" spans="1:18" x14ac:dyDescent="0.2">
      <c r="A30" s="26" t="str">
        <f t="shared" si="8"/>
        <v/>
      </c>
      <c r="B30" s="29" t="str">
        <f t="shared" si="9"/>
        <v/>
      </c>
      <c r="C30" s="43" t="str">
        <f>IF(ISNA($N30),"",VLOOKUP($B30,Reg!$M$3:$N$202,2,0))</f>
        <v/>
      </c>
      <c r="D30" s="31" t="str">
        <f>IF(ISNA($N30),"",VLOOKUP($B30,Reg!$M$3:$O$202,3,0))</f>
        <v/>
      </c>
      <c r="E30" s="35"/>
      <c r="F30" s="41"/>
      <c r="G30" s="36" t="str">
        <f t="shared" si="10"/>
        <v/>
      </c>
      <c r="H30" s="38" t="str">
        <f t="shared" si="11"/>
        <v/>
      </c>
      <c r="I30" s="29" t="str">
        <f>IF(ISNA($N30),"",VLOOKUP($B30,Reg!$M$3:$P$200,4,0))</f>
        <v/>
      </c>
      <c r="J30" s="46" t="str">
        <f t="shared" si="12"/>
        <v/>
      </c>
      <c r="K30" s="49" t="str">
        <f t="shared" si="13"/>
        <v/>
      </c>
      <c r="L30" s="27"/>
      <c r="M30" s="27"/>
      <c r="N30" s="24" t="e">
        <f>VLOOKUP(27,Reg!$B$2:$M$202,12,0)</f>
        <v>#N/A</v>
      </c>
      <c r="O30" s="25" t="e">
        <f>VLOOKUP($B30,Reg!$M$3:$Q$202,5,0)</f>
        <v>#N/A</v>
      </c>
      <c r="P30" s="25" t="e">
        <f t="shared" si="14"/>
        <v>#VALUE!</v>
      </c>
      <c r="Q30" s="47">
        <f t="shared" si="15"/>
        <v>1000</v>
      </c>
      <c r="R30" s="54">
        <v>27</v>
      </c>
    </row>
    <row r="31" spans="1:18" x14ac:dyDescent="0.2">
      <c r="A31" s="26" t="str">
        <f t="shared" si="8"/>
        <v/>
      </c>
      <c r="B31" s="29" t="str">
        <f t="shared" si="9"/>
        <v/>
      </c>
      <c r="C31" s="43" t="str">
        <f>IF(ISNA($N31),"",VLOOKUP($B31,Reg!$M$3:$N$202,2,0))</f>
        <v/>
      </c>
      <c r="D31" s="31" t="str">
        <f>IF(ISNA($N31),"",VLOOKUP($B31,Reg!$M$3:$O$202,3,0))</f>
        <v/>
      </c>
      <c r="E31" s="35"/>
      <c r="F31" s="41"/>
      <c r="G31" s="36" t="str">
        <f t="shared" si="10"/>
        <v/>
      </c>
      <c r="H31" s="38" t="str">
        <f t="shared" si="11"/>
        <v/>
      </c>
      <c r="I31" s="29" t="str">
        <f>IF(ISNA($N31),"",VLOOKUP($B31,Reg!$M$3:$P$200,4,0))</f>
        <v/>
      </c>
      <c r="J31" s="46" t="str">
        <f t="shared" si="12"/>
        <v/>
      </c>
      <c r="K31" s="49" t="str">
        <f t="shared" si="13"/>
        <v/>
      </c>
      <c r="L31" s="27"/>
      <c r="M31" s="27"/>
      <c r="N31" s="24" t="e">
        <f>VLOOKUP(28,Reg!$B$2:$M$202,12,0)</f>
        <v>#N/A</v>
      </c>
      <c r="O31" s="25" t="e">
        <f>VLOOKUP($B31,Reg!$M$3:$Q$202,5,0)</f>
        <v>#N/A</v>
      </c>
      <c r="P31" s="25" t="e">
        <f t="shared" si="14"/>
        <v>#VALUE!</v>
      </c>
      <c r="Q31" s="47">
        <f t="shared" si="15"/>
        <v>1000</v>
      </c>
      <c r="R31" s="54">
        <v>28</v>
      </c>
    </row>
    <row r="32" spans="1:18" x14ac:dyDescent="0.2">
      <c r="A32" s="26" t="str">
        <f t="shared" si="8"/>
        <v/>
      </c>
      <c r="B32" s="29" t="str">
        <f t="shared" si="9"/>
        <v/>
      </c>
      <c r="C32" s="43" t="str">
        <f>IF(ISNA($N32),"",VLOOKUP($B32,Reg!$M$3:$N$202,2,0))</f>
        <v/>
      </c>
      <c r="D32" s="31" t="str">
        <f>IF(ISNA($N32),"",VLOOKUP($B32,Reg!$M$3:$O$202,3,0))</f>
        <v/>
      </c>
      <c r="E32" s="35"/>
      <c r="F32" s="41"/>
      <c r="G32" s="36" t="str">
        <f t="shared" si="10"/>
        <v/>
      </c>
      <c r="H32" s="38" t="str">
        <f t="shared" si="11"/>
        <v/>
      </c>
      <c r="I32" s="29" t="str">
        <f>IF(ISNA($N32),"",VLOOKUP($B32,Reg!$M$3:$P$200,4,0))</f>
        <v/>
      </c>
      <c r="J32" s="46" t="str">
        <f t="shared" si="12"/>
        <v/>
      </c>
      <c r="K32" s="49" t="str">
        <f t="shared" si="13"/>
        <v/>
      </c>
      <c r="L32" s="27"/>
      <c r="M32" s="27"/>
      <c r="N32" s="24" t="e">
        <f>VLOOKUP(29,Reg!$B$2:$M$202,12,0)</f>
        <v>#N/A</v>
      </c>
      <c r="O32" s="25" t="e">
        <f>VLOOKUP($B32,Reg!$M$3:$Q$202,5,0)</f>
        <v>#N/A</v>
      </c>
      <c r="P32" s="25" t="e">
        <f t="shared" si="14"/>
        <v>#VALUE!</v>
      </c>
      <c r="Q32" s="47">
        <f t="shared" si="15"/>
        <v>1000</v>
      </c>
      <c r="R32" s="54">
        <v>29</v>
      </c>
    </row>
    <row r="33" spans="1:18" x14ac:dyDescent="0.2">
      <c r="A33" s="26" t="str">
        <f t="shared" si="8"/>
        <v/>
      </c>
      <c r="B33" s="29" t="str">
        <f t="shared" si="9"/>
        <v/>
      </c>
      <c r="C33" s="43" t="str">
        <f>IF(ISNA($N33),"",VLOOKUP($B33,Reg!$M$3:$N$202,2,0))</f>
        <v/>
      </c>
      <c r="D33" s="31" t="str">
        <f>IF(ISNA($N33),"",VLOOKUP($B33,Reg!$M$3:$O$202,3,0))</f>
        <v/>
      </c>
      <c r="E33" s="35"/>
      <c r="F33" s="41"/>
      <c r="G33" s="36" t="str">
        <f t="shared" si="10"/>
        <v/>
      </c>
      <c r="H33" s="38" t="str">
        <f t="shared" si="11"/>
        <v/>
      </c>
      <c r="I33" s="29" t="str">
        <f>IF(ISNA($N33),"",VLOOKUP($B33,Reg!$M$3:$P$200,4,0))</f>
        <v/>
      </c>
      <c r="J33" s="46" t="str">
        <f t="shared" si="12"/>
        <v/>
      </c>
      <c r="K33" s="49" t="str">
        <f t="shared" si="13"/>
        <v/>
      </c>
      <c r="L33" s="27"/>
      <c r="M33" s="27"/>
      <c r="N33" s="24" t="e">
        <f>VLOOKUP(30,Reg!$B$2:$M$202,12,0)</f>
        <v>#N/A</v>
      </c>
      <c r="O33" s="25" t="e">
        <f>VLOOKUP($B33,Reg!$M$3:$Q$202,5,0)</f>
        <v>#N/A</v>
      </c>
      <c r="P33" s="25" t="e">
        <f t="shared" si="14"/>
        <v>#VALUE!</v>
      </c>
      <c r="Q33" s="47">
        <f t="shared" si="15"/>
        <v>1000</v>
      </c>
      <c r="R33" s="54">
        <v>30</v>
      </c>
    </row>
    <row r="34" spans="1:18" x14ac:dyDescent="0.2">
      <c r="A34" s="26" t="str">
        <f t="shared" si="8"/>
        <v/>
      </c>
      <c r="B34" s="29" t="str">
        <f t="shared" si="9"/>
        <v/>
      </c>
      <c r="C34" s="43" t="str">
        <f>IF(ISNA($N34),"",VLOOKUP($B34,Reg!$M$3:$N$202,2,0))</f>
        <v/>
      </c>
      <c r="D34" s="31" t="str">
        <f>IF(ISNA($N34),"",VLOOKUP($B34,Reg!$M$3:$O$202,3,0))</f>
        <v/>
      </c>
      <c r="E34" s="35"/>
      <c r="F34" s="41"/>
      <c r="G34" s="36" t="str">
        <f t="shared" si="10"/>
        <v/>
      </c>
      <c r="H34" s="38" t="str">
        <f t="shared" si="11"/>
        <v/>
      </c>
      <c r="I34" s="29" t="str">
        <f>IF(ISNA($N34),"",VLOOKUP($B34,Reg!$M$3:$P$200,4,0))</f>
        <v/>
      </c>
      <c r="J34" s="46" t="str">
        <f t="shared" si="12"/>
        <v/>
      </c>
      <c r="K34" s="49" t="str">
        <f t="shared" si="13"/>
        <v/>
      </c>
      <c r="L34" s="27"/>
      <c r="M34" s="27"/>
      <c r="N34" s="24" t="e">
        <f>VLOOKUP(31,Reg!$B$2:$M$202,12,0)</f>
        <v>#N/A</v>
      </c>
      <c r="O34" s="25" t="e">
        <f>VLOOKUP($B34,Reg!$M$3:$Q$202,5,0)</f>
        <v>#N/A</v>
      </c>
      <c r="P34" s="25" t="e">
        <f t="shared" si="14"/>
        <v>#VALUE!</v>
      </c>
      <c r="Q34" s="47">
        <f t="shared" si="15"/>
        <v>1000</v>
      </c>
      <c r="R34" s="54">
        <v>31</v>
      </c>
    </row>
    <row r="35" spans="1:18" x14ac:dyDescent="0.2">
      <c r="A35" s="26" t="str">
        <f t="shared" si="8"/>
        <v/>
      </c>
      <c r="B35" s="29" t="str">
        <f t="shared" si="9"/>
        <v/>
      </c>
      <c r="C35" s="43" t="str">
        <f>IF(ISNA($N35),"",VLOOKUP($B35,Reg!$M$3:$N$202,2,0))</f>
        <v/>
      </c>
      <c r="D35" s="31" t="str">
        <f>IF(ISNA($N35),"",VLOOKUP($B35,Reg!$M$3:$O$202,3,0))</f>
        <v/>
      </c>
      <c r="E35" s="35"/>
      <c r="F35" s="41"/>
      <c r="G35" s="36" t="str">
        <f t="shared" si="10"/>
        <v/>
      </c>
      <c r="H35" s="38" t="str">
        <f t="shared" si="11"/>
        <v/>
      </c>
      <c r="I35" s="29" t="str">
        <f>IF(ISNA($N35),"",VLOOKUP($B35,Reg!$M$3:$P$200,4,0))</f>
        <v/>
      </c>
      <c r="J35" s="46" t="str">
        <f t="shared" si="12"/>
        <v/>
      </c>
      <c r="K35" s="49" t="str">
        <f t="shared" si="13"/>
        <v/>
      </c>
      <c r="L35" s="27"/>
      <c r="M35" s="27"/>
      <c r="N35" s="24" t="e">
        <f>VLOOKUP(32,Reg!$B$2:$M$202,12,0)</f>
        <v>#N/A</v>
      </c>
      <c r="O35" s="25" t="e">
        <f>VLOOKUP($B35,Reg!$M$3:$Q$202,5,0)</f>
        <v>#N/A</v>
      </c>
      <c r="P35" s="25" t="e">
        <f t="shared" si="14"/>
        <v>#VALUE!</v>
      </c>
      <c r="Q35" s="47">
        <f t="shared" si="15"/>
        <v>1000</v>
      </c>
      <c r="R35" s="54">
        <v>32</v>
      </c>
    </row>
    <row r="36" spans="1:18" x14ac:dyDescent="0.2">
      <c r="A36" s="26" t="str">
        <f t="shared" si="8"/>
        <v/>
      </c>
      <c r="B36" s="29" t="str">
        <f t="shared" si="9"/>
        <v/>
      </c>
      <c r="C36" s="43" t="str">
        <f>IF(ISNA($N36),"",VLOOKUP($B36,Reg!$M$3:$N$202,2,0))</f>
        <v/>
      </c>
      <c r="D36" s="31" t="str">
        <f>IF(ISNA($N36),"",VLOOKUP($B36,Reg!$M$3:$O$202,3,0))</f>
        <v/>
      </c>
      <c r="E36" s="35"/>
      <c r="F36" s="41"/>
      <c r="G36" s="36" t="str">
        <f t="shared" si="10"/>
        <v/>
      </c>
      <c r="H36" s="38" t="str">
        <f t="shared" si="11"/>
        <v/>
      </c>
      <c r="I36" s="29" t="str">
        <f>IF(ISNA($N36),"",VLOOKUP($B36,Reg!$M$3:$P$200,4,0))</f>
        <v/>
      </c>
      <c r="J36" s="46" t="str">
        <f t="shared" si="12"/>
        <v/>
      </c>
      <c r="K36" s="49" t="str">
        <f t="shared" si="13"/>
        <v/>
      </c>
      <c r="L36" s="27"/>
      <c r="M36" s="27"/>
      <c r="N36" s="24" t="e">
        <f>VLOOKUP(33,Reg!$B$2:$M$202,12,0)</f>
        <v>#N/A</v>
      </c>
      <c r="O36" s="25" t="e">
        <f>VLOOKUP($B36,Reg!$M$3:$Q$202,5,0)</f>
        <v>#N/A</v>
      </c>
      <c r="P36" s="25" t="e">
        <f t="shared" si="14"/>
        <v>#VALUE!</v>
      </c>
      <c r="Q36" s="47">
        <f t="shared" si="15"/>
        <v>1000</v>
      </c>
      <c r="R36" s="54">
        <v>33</v>
      </c>
    </row>
    <row r="37" spans="1:18" x14ac:dyDescent="0.2">
      <c r="A37" s="26" t="str">
        <f t="shared" si="8"/>
        <v/>
      </c>
      <c r="B37" s="29" t="str">
        <f t="shared" si="9"/>
        <v/>
      </c>
      <c r="C37" s="43" t="str">
        <f>IF(ISNA($N37),"",VLOOKUP($B37,Reg!$M$3:$N$202,2,0))</f>
        <v/>
      </c>
      <c r="D37" s="31" t="str">
        <f>IF(ISNA($N37),"",VLOOKUP($B37,Reg!$M$3:$O$202,3,0))</f>
        <v/>
      </c>
      <c r="E37" s="35"/>
      <c r="F37" s="41"/>
      <c r="G37" s="36" t="str">
        <f t="shared" si="10"/>
        <v/>
      </c>
      <c r="H37" s="38" t="str">
        <f t="shared" si="11"/>
        <v/>
      </c>
      <c r="I37" s="29" t="str">
        <f>IF(ISNA($N37),"",VLOOKUP($B37,Reg!$M$3:$P$200,4,0))</f>
        <v/>
      </c>
      <c r="J37" s="46" t="str">
        <f t="shared" si="12"/>
        <v/>
      </c>
      <c r="K37" s="49" t="str">
        <f t="shared" si="13"/>
        <v/>
      </c>
      <c r="L37" s="27"/>
      <c r="M37" s="27"/>
      <c r="N37" s="24" t="e">
        <f>VLOOKUP(34,Reg!$B$2:$M$202,12,0)</f>
        <v>#N/A</v>
      </c>
      <c r="O37" s="25" t="e">
        <f>VLOOKUP($B37,Reg!$M$3:$Q$202,5,0)</f>
        <v>#N/A</v>
      </c>
      <c r="P37" s="25" t="e">
        <f t="shared" si="14"/>
        <v>#VALUE!</v>
      </c>
      <c r="Q37" s="47">
        <f t="shared" si="15"/>
        <v>1000</v>
      </c>
      <c r="R37" s="54">
        <v>34</v>
      </c>
    </row>
    <row r="38" spans="1:18" x14ac:dyDescent="0.2">
      <c r="A38" s="26" t="str">
        <f t="shared" si="8"/>
        <v/>
      </c>
      <c r="B38" s="29" t="str">
        <f t="shared" si="9"/>
        <v/>
      </c>
      <c r="C38" s="43" t="str">
        <f>IF(ISNA($N38),"",VLOOKUP($B38,Reg!$M$3:$N$202,2,0))</f>
        <v/>
      </c>
      <c r="D38" s="31" t="str">
        <f>IF(ISNA($N38),"",VLOOKUP($B38,Reg!$M$3:$O$202,3,0))</f>
        <v/>
      </c>
      <c r="E38" s="35"/>
      <c r="F38" s="41"/>
      <c r="G38" s="36" t="str">
        <f t="shared" si="10"/>
        <v/>
      </c>
      <c r="H38" s="38" t="str">
        <f t="shared" si="11"/>
        <v/>
      </c>
      <c r="I38" s="29" t="str">
        <f>IF(ISNA($N38),"",VLOOKUP($B38,Reg!$M$3:$P$200,4,0))</f>
        <v/>
      </c>
      <c r="J38" s="46" t="str">
        <f t="shared" si="12"/>
        <v/>
      </c>
      <c r="K38" s="49" t="str">
        <f t="shared" si="13"/>
        <v/>
      </c>
      <c r="L38" s="27"/>
      <c r="M38" s="27"/>
      <c r="N38" s="24" t="e">
        <f>VLOOKUP(35,Reg!$B$2:$M$202,12,0)</f>
        <v>#N/A</v>
      </c>
      <c r="O38" s="25" t="e">
        <f>VLOOKUP($B38,Reg!$M$3:$Q$202,5,0)</f>
        <v>#N/A</v>
      </c>
      <c r="P38" s="25" t="e">
        <f t="shared" si="14"/>
        <v>#VALUE!</v>
      </c>
      <c r="Q38" s="47">
        <f t="shared" si="15"/>
        <v>1000</v>
      </c>
      <c r="R38" s="54">
        <v>35</v>
      </c>
    </row>
    <row r="39" spans="1:18" x14ac:dyDescent="0.2">
      <c r="A39" s="26" t="str">
        <f t="shared" si="8"/>
        <v/>
      </c>
      <c r="B39" s="29" t="str">
        <f t="shared" si="9"/>
        <v/>
      </c>
      <c r="C39" s="43" t="str">
        <f>IF(ISNA($N39),"",VLOOKUP($B39,Reg!$M$3:$N$202,2,0))</f>
        <v/>
      </c>
      <c r="D39" s="31" t="str">
        <f>IF(ISNA($N39),"",VLOOKUP($B39,Reg!$M$3:$O$202,3,0))</f>
        <v/>
      </c>
      <c r="E39" s="35"/>
      <c r="F39" s="41"/>
      <c r="G39" s="36" t="str">
        <f t="shared" si="10"/>
        <v/>
      </c>
      <c r="H39" s="38" t="str">
        <f t="shared" si="11"/>
        <v/>
      </c>
      <c r="I39" s="29" t="str">
        <f>IF(ISNA($N39),"",VLOOKUP($B39,Reg!$M$3:$P$200,4,0))</f>
        <v/>
      </c>
      <c r="J39" s="46" t="str">
        <f t="shared" si="12"/>
        <v/>
      </c>
      <c r="K39" s="49" t="str">
        <f t="shared" si="13"/>
        <v/>
      </c>
      <c r="L39" s="27"/>
      <c r="M39" s="27"/>
      <c r="N39" s="24" t="e">
        <f>VLOOKUP(36,Reg!$B$2:$M$202,12,0)</f>
        <v>#N/A</v>
      </c>
      <c r="O39" s="25" t="e">
        <f>VLOOKUP($B39,Reg!$M$3:$Q$202,5,0)</f>
        <v>#N/A</v>
      </c>
      <c r="P39" s="25" t="e">
        <f t="shared" si="14"/>
        <v>#VALUE!</v>
      </c>
      <c r="Q39" s="47">
        <f t="shared" si="15"/>
        <v>1000</v>
      </c>
      <c r="R39" s="54">
        <v>36</v>
      </c>
    </row>
    <row r="40" spans="1:18" x14ac:dyDescent="0.2">
      <c r="A40" s="26" t="str">
        <f t="shared" si="8"/>
        <v/>
      </c>
      <c r="B40" s="29" t="str">
        <f t="shared" si="9"/>
        <v/>
      </c>
      <c r="C40" s="43" t="str">
        <f>IF(ISNA($N40),"",VLOOKUP($B40,Reg!$M$3:$N$202,2,0))</f>
        <v/>
      </c>
      <c r="D40" s="31" t="str">
        <f>IF(ISNA($N40),"",VLOOKUP($B40,Reg!$M$3:$O$202,3,0))</f>
        <v/>
      </c>
      <c r="E40" s="35"/>
      <c r="F40" s="41"/>
      <c r="G40" s="36" t="str">
        <f t="shared" si="10"/>
        <v/>
      </c>
      <c r="H40" s="38" t="str">
        <f t="shared" si="11"/>
        <v/>
      </c>
      <c r="I40" s="29" t="str">
        <f>IF(ISNA($N40),"",VLOOKUP($B40,Reg!$M$3:$P$200,4,0))</f>
        <v/>
      </c>
      <c r="J40" s="46" t="str">
        <f t="shared" si="12"/>
        <v/>
      </c>
      <c r="K40" s="49" t="str">
        <f t="shared" si="13"/>
        <v/>
      </c>
      <c r="L40" s="27"/>
      <c r="M40" s="27"/>
      <c r="N40" s="24" t="e">
        <f>VLOOKUP(37,Reg!$B$2:$M$202,12,0)</f>
        <v>#N/A</v>
      </c>
      <c r="O40" s="25" t="e">
        <f>VLOOKUP($B40,Reg!$M$3:$Q$202,5,0)</f>
        <v>#N/A</v>
      </c>
      <c r="P40" s="25" t="e">
        <f t="shared" si="14"/>
        <v>#VALUE!</v>
      </c>
      <c r="Q40" s="47">
        <f t="shared" si="15"/>
        <v>1000</v>
      </c>
      <c r="R40" s="54">
        <v>37</v>
      </c>
    </row>
    <row r="41" spans="1:18" x14ac:dyDescent="0.2">
      <c r="A41" s="26" t="str">
        <f t="shared" si="8"/>
        <v/>
      </c>
      <c r="B41" s="29" t="str">
        <f t="shared" si="9"/>
        <v/>
      </c>
      <c r="C41" s="43" t="str">
        <f>IF(ISNA($N41),"",VLOOKUP($B41,Reg!$M$3:$N$202,2,0))</f>
        <v/>
      </c>
      <c r="D41" s="31" t="str">
        <f>IF(ISNA($N41),"",VLOOKUP($B41,Reg!$M$3:$O$202,3,0))</f>
        <v/>
      </c>
      <c r="E41" s="35"/>
      <c r="F41" s="41"/>
      <c r="G41" s="36" t="str">
        <f t="shared" si="10"/>
        <v/>
      </c>
      <c r="H41" s="38" t="str">
        <f t="shared" si="11"/>
        <v/>
      </c>
      <c r="I41" s="29" t="str">
        <f>IF(ISNA($N41),"",VLOOKUP($B41,Reg!$M$3:$P$200,4,0))</f>
        <v/>
      </c>
      <c r="J41" s="46" t="str">
        <f t="shared" si="12"/>
        <v/>
      </c>
      <c r="K41" s="49" t="str">
        <f t="shared" si="13"/>
        <v/>
      </c>
      <c r="L41" s="27"/>
      <c r="M41" s="27"/>
      <c r="N41" s="24" t="e">
        <f>VLOOKUP(38,Reg!$B$2:$M$202,12,0)</f>
        <v>#N/A</v>
      </c>
      <c r="O41" s="25" t="e">
        <f>VLOOKUP($B41,Reg!$M$3:$Q$202,5,0)</f>
        <v>#N/A</v>
      </c>
      <c r="P41" s="25" t="e">
        <f t="shared" si="14"/>
        <v>#VALUE!</v>
      </c>
      <c r="Q41" s="47">
        <f t="shared" si="15"/>
        <v>1000</v>
      </c>
      <c r="R41" s="54">
        <v>38</v>
      </c>
    </row>
    <row r="42" spans="1:18" x14ac:dyDescent="0.2">
      <c r="A42" s="26" t="str">
        <f t="shared" si="8"/>
        <v/>
      </c>
      <c r="B42" s="29" t="str">
        <f t="shared" si="9"/>
        <v/>
      </c>
      <c r="C42" s="43" t="str">
        <f>IF(ISNA($N42),"",VLOOKUP($B42,Reg!$M$3:$N$202,2,0))</f>
        <v/>
      </c>
      <c r="D42" s="31" t="str">
        <f>IF(ISNA($N42),"",VLOOKUP($B42,Reg!$M$3:$O$202,3,0))</f>
        <v/>
      </c>
      <c r="E42" s="35"/>
      <c r="F42" s="41"/>
      <c r="G42" s="36" t="str">
        <f t="shared" si="10"/>
        <v/>
      </c>
      <c r="H42" s="38" t="str">
        <f t="shared" si="11"/>
        <v/>
      </c>
      <c r="I42" s="29" t="str">
        <f>IF(ISNA($N42),"",VLOOKUP($B42,Reg!$M$3:$P$200,4,0))</f>
        <v/>
      </c>
      <c r="J42" s="46" t="str">
        <f t="shared" si="12"/>
        <v/>
      </c>
      <c r="K42" s="49" t="str">
        <f t="shared" si="13"/>
        <v/>
      </c>
      <c r="L42" s="27"/>
      <c r="M42" s="27"/>
      <c r="N42" s="24" t="e">
        <f>VLOOKUP(39,Reg!$B$2:$M$202,12,0)</f>
        <v>#N/A</v>
      </c>
      <c r="O42" s="25" t="e">
        <f>VLOOKUP($B42,Reg!$M$3:$Q$202,5,0)</f>
        <v>#N/A</v>
      </c>
      <c r="P42" s="25" t="e">
        <f t="shared" si="14"/>
        <v>#VALUE!</v>
      </c>
      <c r="Q42" s="47">
        <f t="shared" si="15"/>
        <v>1000</v>
      </c>
      <c r="R42" s="54">
        <v>39</v>
      </c>
    </row>
    <row r="43" spans="1:18" x14ac:dyDescent="0.2">
      <c r="A43" s="26" t="str">
        <f t="shared" si="8"/>
        <v/>
      </c>
      <c r="B43" s="29" t="str">
        <f t="shared" si="9"/>
        <v/>
      </c>
      <c r="C43" s="43" t="str">
        <f>IF(ISNA($N43),"",VLOOKUP($B43,Reg!$M$3:$N$202,2,0))</f>
        <v/>
      </c>
      <c r="D43" s="31" t="str">
        <f>IF(ISNA($N43),"",VLOOKUP($B43,Reg!$M$3:$O$202,3,0))</f>
        <v/>
      </c>
      <c r="E43" s="35"/>
      <c r="F43" s="41"/>
      <c r="G43" s="36" t="str">
        <f t="shared" si="10"/>
        <v/>
      </c>
      <c r="H43" s="38" t="str">
        <f t="shared" si="11"/>
        <v/>
      </c>
      <c r="I43" s="29" t="str">
        <f>IF(ISNA($N43),"",VLOOKUP($B43,Reg!$M$3:$P$200,4,0))</f>
        <v/>
      </c>
      <c r="J43" s="46" t="str">
        <f t="shared" si="12"/>
        <v/>
      </c>
      <c r="K43" s="49" t="str">
        <f t="shared" si="13"/>
        <v/>
      </c>
      <c r="L43" s="27"/>
      <c r="M43" s="27"/>
      <c r="N43" s="24" t="e">
        <f>VLOOKUP(40,Reg!$B$2:$M$202,12,0)</f>
        <v>#N/A</v>
      </c>
      <c r="O43" s="25" t="e">
        <f>VLOOKUP($B43,Reg!$M$3:$Q$202,5,0)</f>
        <v>#N/A</v>
      </c>
      <c r="P43" s="25" t="e">
        <f t="shared" si="14"/>
        <v>#VALUE!</v>
      </c>
      <c r="Q43" s="47">
        <f t="shared" si="15"/>
        <v>1000</v>
      </c>
      <c r="R43" s="54">
        <v>40</v>
      </c>
    </row>
    <row r="44" spans="1:18" x14ac:dyDescent="0.2">
      <c r="A44" s="26" t="str">
        <f t="shared" si="8"/>
        <v/>
      </c>
      <c r="B44" s="29" t="str">
        <f t="shared" si="9"/>
        <v/>
      </c>
      <c r="C44" s="43" t="str">
        <f>IF(ISNA($N44),"",VLOOKUP($B44,Reg!$M$3:$N$202,2,0))</f>
        <v/>
      </c>
      <c r="D44" s="31" t="str">
        <f>IF(ISNA($N44),"",VLOOKUP($B44,Reg!$M$3:$O$202,3,0))</f>
        <v/>
      </c>
      <c r="E44" s="35"/>
      <c r="F44" s="41"/>
      <c r="G44" s="36" t="str">
        <f t="shared" si="10"/>
        <v/>
      </c>
      <c r="H44" s="38" t="str">
        <f t="shared" si="11"/>
        <v/>
      </c>
      <c r="I44" s="29" t="str">
        <f>IF(ISNA($N44),"",VLOOKUP($B44,Reg!$M$3:$P$200,4,0))</f>
        <v/>
      </c>
      <c r="J44" s="46" t="str">
        <f t="shared" si="12"/>
        <v/>
      </c>
      <c r="K44" s="49" t="str">
        <f t="shared" si="13"/>
        <v/>
      </c>
      <c r="L44" s="27"/>
      <c r="M44" s="27"/>
      <c r="N44" s="24" t="e">
        <f>VLOOKUP(41,Reg!$B$2:$M$202,12,0)</f>
        <v>#N/A</v>
      </c>
      <c r="O44" s="25" t="e">
        <f>VLOOKUP($B44,Reg!$M$3:$Q$202,5,0)</f>
        <v>#N/A</v>
      </c>
      <c r="P44" s="25" t="e">
        <f t="shared" si="14"/>
        <v>#VALUE!</v>
      </c>
      <c r="Q44" s="47">
        <f t="shared" si="15"/>
        <v>1000</v>
      </c>
      <c r="R44" s="54">
        <v>41</v>
      </c>
    </row>
    <row r="45" spans="1:18" x14ac:dyDescent="0.2">
      <c r="A45" s="26" t="str">
        <f t="shared" si="8"/>
        <v/>
      </c>
      <c r="B45" s="29" t="str">
        <f t="shared" si="9"/>
        <v/>
      </c>
      <c r="C45" s="43" t="str">
        <f>IF(ISNA($N45),"",VLOOKUP($B45,Reg!$M$3:$N$202,2,0))</f>
        <v/>
      </c>
      <c r="D45" s="31" t="str">
        <f>IF(ISNA($N45),"",VLOOKUP($B45,Reg!$M$3:$O$202,3,0))</f>
        <v/>
      </c>
      <c r="E45" s="35"/>
      <c r="F45" s="41"/>
      <c r="G45" s="36" t="str">
        <f t="shared" si="10"/>
        <v/>
      </c>
      <c r="H45" s="38" t="str">
        <f t="shared" si="11"/>
        <v/>
      </c>
      <c r="I45" s="29" t="str">
        <f>IF(ISNA($N45),"",VLOOKUP($B45,Reg!$M$3:$P$200,4,0))</f>
        <v/>
      </c>
      <c r="J45" s="46" t="str">
        <f t="shared" si="12"/>
        <v/>
      </c>
      <c r="K45" s="49" t="str">
        <f t="shared" si="13"/>
        <v/>
      </c>
      <c r="L45" s="27"/>
      <c r="M45" s="27"/>
      <c r="N45" s="24" t="e">
        <f>VLOOKUP(42,Reg!$B$2:$M$202,12,0)</f>
        <v>#N/A</v>
      </c>
      <c r="O45" s="25" t="e">
        <f>VLOOKUP($B45,Reg!$M$3:$Q$202,5,0)</f>
        <v>#N/A</v>
      </c>
      <c r="P45" s="25" t="e">
        <f t="shared" si="14"/>
        <v>#VALUE!</v>
      </c>
      <c r="Q45" s="47">
        <f t="shared" si="15"/>
        <v>1000</v>
      </c>
      <c r="R45" s="54">
        <v>42</v>
      </c>
    </row>
    <row r="46" spans="1:18" x14ac:dyDescent="0.2">
      <c r="A46" s="26" t="str">
        <f t="shared" si="8"/>
        <v/>
      </c>
      <c r="B46" s="29" t="str">
        <f t="shared" si="9"/>
        <v/>
      </c>
      <c r="C46" s="43" t="str">
        <f>IF(ISNA($N46),"",VLOOKUP($B46,Reg!$M$3:$N$202,2,0))</f>
        <v/>
      </c>
      <c r="D46" s="31" t="str">
        <f>IF(ISNA($N46),"",VLOOKUP($B46,Reg!$M$3:$O$202,3,0))</f>
        <v/>
      </c>
      <c r="E46" s="35"/>
      <c r="F46" s="41"/>
      <c r="G46" s="36" t="str">
        <f t="shared" si="10"/>
        <v/>
      </c>
      <c r="H46" s="38" t="str">
        <f t="shared" si="11"/>
        <v/>
      </c>
      <c r="I46" s="29" t="str">
        <f>IF(ISNA($N46),"",VLOOKUP($B46,Reg!$M$3:$P$200,4,0))</f>
        <v/>
      </c>
      <c r="J46" s="46" t="str">
        <f t="shared" si="12"/>
        <v/>
      </c>
      <c r="K46" s="49" t="str">
        <f t="shared" si="13"/>
        <v/>
      </c>
      <c r="L46" s="27"/>
      <c r="M46" s="27"/>
      <c r="N46" s="24" t="e">
        <f>VLOOKUP(43,Reg!$B$2:$M$202,12,0)</f>
        <v>#N/A</v>
      </c>
      <c r="O46" s="25" t="e">
        <f>VLOOKUP($B46,Reg!$M$3:$Q$202,5,0)</f>
        <v>#N/A</v>
      </c>
      <c r="P46" s="25" t="e">
        <f t="shared" si="14"/>
        <v>#VALUE!</v>
      </c>
      <c r="Q46" s="47">
        <f t="shared" si="15"/>
        <v>1000</v>
      </c>
      <c r="R46" s="54">
        <v>43</v>
      </c>
    </row>
    <row r="47" spans="1:18" x14ac:dyDescent="0.2">
      <c r="A47" s="26" t="str">
        <f t="shared" si="8"/>
        <v/>
      </c>
      <c r="B47" s="29" t="str">
        <f t="shared" si="9"/>
        <v/>
      </c>
      <c r="C47" s="43" t="str">
        <f>IF(ISNA($N47),"",VLOOKUP($B47,Reg!$M$3:$N$202,2,0))</f>
        <v/>
      </c>
      <c r="D47" s="31" t="str">
        <f>IF(ISNA($N47),"",VLOOKUP($B47,Reg!$M$3:$O$202,3,0))</f>
        <v/>
      </c>
      <c r="E47" s="35"/>
      <c r="F47" s="41"/>
      <c r="G47" s="36" t="str">
        <f t="shared" si="10"/>
        <v/>
      </c>
      <c r="H47" s="38" t="str">
        <f t="shared" si="11"/>
        <v/>
      </c>
      <c r="I47" s="29" t="str">
        <f>IF(ISNA($N47),"",VLOOKUP($B47,Reg!$M$3:$P$200,4,0))</f>
        <v/>
      </c>
      <c r="J47" s="46" t="str">
        <f t="shared" si="12"/>
        <v/>
      </c>
      <c r="K47" s="49" t="str">
        <f t="shared" si="13"/>
        <v/>
      </c>
      <c r="N47" s="24" t="e">
        <f>VLOOKUP(44,Reg!$B$2:$M$202,12,0)</f>
        <v>#N/A</v>
      </c>
      <c r="O47" s="25" t="e">
        <f>VLOOKUP($B47,Reg!$M$3:$Q$202,5,0)</f>
        <v>#N/A</v>
      </c>
      <c r="P47" s="25" t="e">
        <f t="shared" si="14"/>
        <v>#VALUE!</v>
      </c>
      <c r="Q47" s="47">
        <f t="shared" si="15"/>
        <v>1000</v>
      </c>
      <c r="R47" s="54">
        <v>44</v>
      </c>
    </row>
    <row r="48" spans="1:18" x14ac:dyDescent="0.2">
      <c r="A48" s="26" t="str">
        <f t="shared" si="8"/>
        <v/>
      </c>
      <c r="B48" s="29" t="str">
        <f t="shared" si="9"/>
        <v/>
      </c>
      <c r="C48" s="43" t="str">
        <f>IF(ISNA($N48),"",VLOOKUP($B48,Reg!$M$3:$N$202,2,0))</f>
        <v/>
      </c>
      <c r="D48" s="31" t="str">
        <f>IF(ISNA($N48),"",VLOOKUP($B48,Reg!$M$3:$O$202,3,0))</f>
        <v/>
      </c>
      <c r="E48" s="35"/>
      <c r="F48" s="41"/>
      <c r="G48" s="36" t="str">
        <f t="shared" si="10"/>
        <v/>
      </c>
      <c r="H48" s="38" t="str">
        <f t="shared" si="11"/>
        <v/>
      </c>
      <c r="I48" s="29" t="str">
        <f>IF(ISNA($N48),"",VLOOKUP($B48,Reg!$M$3:$P$200,4,0))</f>
        <v/>
      </c>
      <c r="J48" s="46" t="str">
        <f t="shared" si="12"/>
        <v/>
      </c>
      <c r="K48" s="49" t="str">
        <f t="shared" si="13"/>
        <v/>
      </c>
      <c r="N48" s="24" t="e">
        <f>VLOOKUP(45,Reg!$B$2:$M$202,12,0)</f>
        <v>#N/A</v>
      </c>
      <c r="O48" s="25" t="e">
        <f>VLOOKUP($B48,Reg!$M$3:$Q$202,5,0)</f>
        <v>#N/A</v>
      </c>
      <c r="P48" s="25" t="e">
        <f t="shared" si="14"/>
        <v>#VALUE!</v>
      </c>
      <c r="Q48" s="47">
        <f t="shared" si="15"/>
        <v>1000</v>
      </c>
      <c r="R48" s="54">
        <v>45</v>
      </c>
    </row>
    <row r="49" spans="1:18" x14ac:dyDescent="0.2">
      <c r="A49" s="26" t="str">
        <f t="shared" si="8"/>
        <v/>
      </c>
      <c r="B49" s="29" t="str">
        <f t="shared" si="9"/>
        <v/>
      </c>
      <c r="C49" s="43" t="str">
        <f>IF(ISNA($N49),"",VLOOKUP($B49,Reg!$M$3:$N$202,2,0))</f>
        <v/>
      </c>
      <c r="D49" s="31" t="str">
        <f>IF(ISNA($N49),"",VLOOKUP($B49,Reg!$M$3:$O$202,3,0))</f>
        <v/>
      </c>
      <c r="E49" s="35"/>
      <c r="F49" s="41"/>
      <c r="G49" s="36" t="str">
        <f t="shared" si="10"/>
        <v/>
      </c>
      <c r="H49" s="38" t="str">
        <f t="shared" si="11"/>
        <v/>
      </c>
      <c r="I49" s="29" t="str">
        <f>IF(ISNA($N49),"",VLOOKUP($B49,Reg!$M$3:$P$200,4,0))</f>
        <v/>
      </c>
      <c r="J49" s="46" t="str">
        <f t="shared" si="12"/>
        <v/>
      </c>
      <c r="K49" s="49" t="str">
        <f t="shared" si="13"/>
        <v/>
      </c>
      <c r="N49" s="24" t="e">
        <f>VLOOKUP(46,Reg!$B$2:$M$202,12,0)</f>
        <v>#N/A</v>
      </c>
      <c r="O49" s="25" t="e">
        <f>VLOOKUP($B49,Reg!$M$3:$Q$202,5,0)</f>
        <v>#N/A</v>
      </c>
      <c r="P49" s="25" t="e">
        <f t="shared" si="14"/>
        <v>#VALUE!</v>
      </c>
      <c r="Q49" s="47">
        <f t="shared" si="15"/>
        <v>1000</v>
      </c>
      <c r="R49" s="54">
        <v>46</v>
      </c>
    </row>
    <row r="50" spans="1:18" x14ac:dyDescent="0.2">
      <c r="A50" s="26" t="str">
        <f t="shared" ref="A50:A53" si="16">IF($B50="","",ROW()-3)</f>
        <v/>
      </c>
      <c r="B50" s="29" t="str">
        <f t="shared" ref="B50:B53" si="17">IF(ISNA($N50),"",$N50)</f>
        <v/>
      </c>
      <c r="C50" s="43" t="str">
        <f>IF(ISNA($N50),"",VLOOKUP($B50,Reg!$M$3:$N$202,2,0))</f>
        <v/>
      </c>
      <c r="D50" s="31" t="str">
        <f>IF(ISNA($N50),"",VLOOKUP($B50,Reg!$M$3:$O$202,3,0))</f>
        <v/>
      </c>
      <c r="E50" s="35"/>
      <c r="F50" s="41"/>
      <c r="G50" s="36" t="str">
        <f t="shared" ref="G50:G53" si="18">IF(ISBLANK($E50),"",IF(ISBLANK($F50),0,$F50*2))</f>
        <v/>
      </c>
      <c r="H50" s="38" t="str">
        <f t="shared" ref="H50:H53" si="19">IF(ISBLANK($E50),"",TEXT($P50,"###")&amp;IF($P50=0,""," мин ")&amp;TEXT($E50+$G50-$P50*60,"###,###")&amp;" с")</f>
        <v/>
      </c>
      <c r="I50" s="29" t="str">
        <f>IF(ISNA($N50),"",VLOOKUP($B50,Reg!$M$3:$P$200,4,0))</f>
        <v/>
      </c>
      <c r="J50" s="46" t="str">
        <f t="shared" ref="J50:J53" si="20">IF(ISNA($O50),"",IF($O50=0,"",$O50))</f>
        <v/>
      </c>
      <c r="K50" s="49" t="str">
        <f t="shared" ref="K50:K53" si="21">IF($E50&gt;0,RANK($Q50,$Q$4:$Q$50,1),"")</f>
        <v/>
      </c>
      <c r="N50" s="24" t="e">
        <f>VLOOKUP(47,Reg!$B$2:$M$202,12,0)</f>
        <v>#N/A</v>
      </c>
      <c r="O50" s="25" t="e">
        <f>VLOOKUP($B50,Reg!$M$3:$Q$202,5,0)</f>
        <v>#N/A</v>
      </c>
      <c r="P50" s="25" t="e">
        <f t="shared" ref="P50" si="22">INT((E50+G50)/60)</f>
        <v>#VALUE!</v>
      </c>
      <c r="Q50" s="47">
        <f t="shared" ref="Q50:Q53" si="23">IF($E50&gt;0,$E50+$G50,1000)</f>
        <v>1000</v>
      </c>
      <c r="R50" s="54">
        <v>47</v>
      </c>
    </row>
    <row r="51" spans="1:18" x14ac:dyDescent="0.2">
      <c r="A51" s="26" t="str">
        <f t="shared" si="16"/>
        <v/>
      </c>
      <c r="B51" s="29" t="str">
        <f t="shared" si="17"/>
        <v/>
      </c>
      <c r="C51" s="43" t="str">
        <f>IF(ISNA($N51),"",VLOOKUP($B51,Reg!$M$3:$N$202,2,0))</f>
        <v/>
      </c>
      <c r="D51" s="31" t="str">
        <f>IF(ISNA($N51),"",VLOOKUP($B51,Reg!$M$3:$O$202,3,0))</f>
        <v/>
      </c>
      <c r="E51" s="35"/>
      <c r="F51" s="41"/>
      <c r="G51" s="36" t="str">
        <f t="shared" si="18"/>
        <v/>
      </c>
      <c r="H51" s="38" t="str">
        <f t="shared" si="19"/>
        <v/>
      </c>
      <c r="I51" s="29" t="str">
        <f>IF(ISNA($N51),"",VLOOKUP($B51,Reg!$M$3:$P$200,4,0))</f>
        <v/>
      </c>
      <c r="J51" s="46" t="str">
        <f t="shared" si="20"/>
        <v/>
      </c>
      <c r="K51" s="49" t="str">
        <f t="shared" si="21"/>
        <v/>
      </c>
      <c r="N51" s="24" t="e">
        <f>VLOOKUP(47,Reg!$B$2:$M$202,12,0)</f>
        <v>#N/A</v>
      </c>
      <c r="O51" s="25" t="e">
        <f>VLOOKUP($B51,Reg!$M$3:$Q$202,5,0)</f>
        <v>#N/A</v>
      </c>
      <c r="P51" s="25" t="e">
        <f t="shared" ref="P51:P53" si="24">INT((E51+G51)/60)</f>
        <v>#VALUE!</v>
      </c>
      <c r="Q51" s="47">
        <f t="shared" si="23"/>
        <v>1000</v>
      </c>
      <c r="R51" s="54">
        <v>48</v>
      </c>
    </row>
    <row r="52" spans="1:18" x14ac:dyDescent="0.2">
      <c r="A52" s="26" t="str">
        <f t="shared" si="16"/>
        <v/>
      </c>
      <c r="B52" s="29" t="str">
        <f t="shared" si="17"/>
        <v/>
      </c>
      <c r="C52" s="43" t="str">
        <f>IF(ISNA($N52),"",VLOOKUP($B52,Reg!$M$3:$N$202,2,0))</f>
        <v/>
      </c>
      <c r="D52" s="31" t="str">
        <f>IF(ISNA($N52),"",VLOOKUP($B52,Reg!$M$3:$O$202,3,0))</f>
        <v/>
      </c>
      <c r="E52" s="35"/>
      <c r="F52" s="41"/>
      <c r="G52" s="36" t="str">
        <f t="shared" si="18"/>
        <v/>
      </c>
      <c r="H52" s="38" t="str">
        <f t="shared" si="19"/>
        <v/>
      </c>
      <c r="I52" s="29" t="str">
        <f>IF(ISNA($N52),"",VLOOKUP($B52,Reg!$M$3:$P$200,4,0))</f>
        <v/>
      </c>
      <c r="J52" s="46" t="str">
        <f t="shared" si="20"/>
        <v/>
      </c>
      <c r="K52" s="49" t="str">
        <f t="shared" si="21"/>
        <v/>
      </c>
      <c r="N52" s="24" t="e">
        <f>VLOOKUP(47,Reg!$B$2:$M$202,12,0)</f>
        <v>#N/A</v>
      </c>
      <c r="O52" s="25" t="e">
        <f>VLOOKUP($B52,Reg!$M$3:$Q$202,5,0)</f>
        <v>#N/A</v>
      </c>
      <c r="P52" s="25" t="e">
        <f t="shared" si="24"/>
        <v>#VALUE!</v>
      </c>
      <c r="Q52" s="47">
        <f t="shared" si="23"/>
        <v>1000</v>
      </c>
      <c r="R52" s="54">
        <v>49</v>
      </c>
    </row>
    <row r="53" spans="1:18" x14ac:dyDescent="0.2">
      <c r="A53" s="26" t="str">
        <f t="shared" si="16"/>
        <v/>
      </c>
      <c r="B53" s="29" t="str">
        <f t="shared" si="17"/>
        <v/>
      </c>
      <c r="C53" s="43" t="str">
        <f>IF(ISNA($N53),"",VLOOKUP($B53,Reg!$M$3:$N$202,2,0))</f>
        <v/>
      </c>
      <c r="D53" s="31" t="str">
        <f>IF(ISNA($N53),"",VLOOKUP($B53,Reg!$M$3:$O$202,3,0))</f>
        <v/>
      </c>
      <c r="E53" s="35"/>
      <c r="F53" s="41"/>
      <c r="G53" s="36" t="str">
        <f t="shared" si="18"/>
        <v/>
      </c>
      <c r="H53" s="38" t="str">
        <f t="shared" si="19"/>
        <v/>
      </c>
      <c r="I53" s="29" t="str">
        <f>IF(ISNA($N53),"",VLOOKUP($B53,Reg!$M$3:$P$200,4,0))</f>
        <v/>
      </c>
      <c r="J53" s="46" t="str">
        <f t="shared" si="20"/>
        <v/>
      </c>
      <c r="K53" s="49" t="str">
        <f t="shared" si="21"/>
        <v/>
      </c>
      <c r="N53" s="24" t="e">
        <f>VLOOKUP(47,Reg!$B$2:$M$202,12,0)</f>
        <v>#N/A</v>
      </c>
      <c r="O53" s="25" t="e">
        <f>VLOOKUP($B53,Reg!$M$3:$Q$202,5,0)</f>
        <v>#N/A</v>
      </c>
      <c r="P53" s="25" t="e">
        <f t="shared" si="24"/>
        <v>#VALUE!</v>
      </c>
      <c r="Q53" s="47">
        <f t="shared" si="23"/>
        <v>1000</v>
      </c>
      <c r="R53" s="54">
        <v>50</v>
      </c>
    </row>
  </sheetData>
  <sortState ref="A4:R12">
    <sortCondition ref="K4:K12"/>
  </sortState>
  <mergeCells count="2">
    <mergeCell ref="A2:J2"/>
    <mergeCell ref="A1:K1"/>
  </mergeCells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zoomScaleNormal="100" workbookViewId="0">
      <selection activeCell="C13" sqref="C13"/>
    </sheetView>
  </sheetViews>
  <sheetFormatPr defaultRowHeight="15" x14ac:dyDescent="0.2"/>
  <cols>
    <col min="1" max="1" width="4.7109375" style="28" customWidth="1"/>
    <col min="2" max="2" width="6.85546875" style="28" customWidth="1"/>
    <col min="3" max="3" width="28.5703125" style="44" customWidth="1"/>
    <col min="4" max="4" width="11.5703125" style="28" customWidth="1"/>
    <col min="5" max="5" width="8.7109375" style="28" customWidth="1"/>
    <col min="6" max="6" width="5.42578125" style="28" customWidth="1"/>
    <col min="7" max="7" width="5.7109375" style="28" customWidth="1"/>
    <col min="8" max="8" width="14.7109375" style="28" customWidth="1"/>
    <col min="9" max="9" width="17.5703125" style="28" customWidth="1"/>
    <col min="10" max="10" width="26.7109375" style="44" customWidth="1"/>
    <col min="11" max="11" width="4.28515625" style="28" customWidth="1"/>
    <col min="12" max="12" width="9.140625" style="28"/>
    <col min="13" max="13" width="9.140625" style="28" customWidth="1"/>
    <col min="14" max="16" width="9.140625" style="28" hidden="1" customWidth="1"/>
    <col min="17" max="17" width="11.28515625" style="28" hidden="1" customWidth="1"/>
    <col min="18" max="18" width="6.140625" style="54" hidden="1" customWidth="1"/>
    <col min="19" max="16384" width="9.140625" style="28"/>
  </cols>
  <sheetData>
    <row r="1" spans="1:18" s="19" customFormat="1" ht="25.5" customHeight="1" x14ac:dyDescent="0.25">
      <c r="A1" s="90" t="s">
        <v>391</v>
      </c>
      <c r="B1" s="91"/>
      <c r="C1" s="91"/>
      <c r="D1" s="91"/>
      <c r="E1" s="91"/>
      <c r="F1" s="91"/>
      <c r="G1" s="91"/>
      <c r="H1" s="91"/>
      <c r="I1" s="91"/>
      <c r="J1" s="91"/>
      <c r="K1" s="92"/>
      <c r="L1" s="17"/>
      <c r="M1" s="17"/>
      <c r="N1" s="17">
        <f>YEAR(Reg!L1)</f>
        <v>2014</v>
      </c>
      <c r="O1" s="18"/>
    </row>
    <row r="2" spans="1:18" s="22" customFormat="1" ht="25.5" customHeight="1" thickBot="1" x14ac:dyDescent="0.25">
      <c r="A2" s="88" t="str">
        <f>"Группа А (мальчики "&amp;Reg!A1&amp;"-"&amp;Reg!C1-1&amp;": "&amp;$N$1-Reg!A1&amp;"-"&amp;$N$1-Reg!C1+1&amp;" г.р.)"</f>
        <v>Группа А (мальчики 4-7: 2010-2007 г.р.)</v>
      </c>
      <c r="B2" s="89"/>
      <c r="C2" s="89"/>
      <c r="D2" s="89"/>
      <c r="E2" s="89"/>
      <c r="F2" s="89"/>
      <c r="G2" s="89"/>
      <c r="H2" s="89"/>
      <c r="I2" s="89"/>
      <c r="J2" s="89"/>
      <c r="K2" s="50"/>
      <c r="L2" s="20"/>
      <c r="M2" s="20"/>
      <c r="N2" s="20"/>
      <c r="O2" s="21"/>
    </row>
    <row r="3" spans="1:18" s="25" customFormat="1" ht="44.25" customHeight="1" thickBot="1" x14ac:dyDescent="0.25">
      <c r="A3" s="23" t="s">
        <v>5</v>
      </c>
      <c r="B3" s="64" t="s">
        <v>4</v>
      </c>
      <c r="C3" s="42" t="s">
        <v>0</v>
      </c>
      <c r="D3" s="32" t="s">
        <v>6</v>
      </c>
      <c r="E3" s="33" t="s">
        <v>15</v>
      </c>
      <c r="F3" s="62" t="s">
        <v>7</v>
      </c>
      <c r="G3" s="63" t="s">
        <v>16</v>
      </c>
      <c r="H3" s="23" t="s">
        <v>17</v>
      </c>
      <c r="I3" s="32" t="s">
        <v>2</v>
      </c>
      <c r="J3" s="42" t="s">
        <v>3</v>
      </c>
      <c r="K3" s="65" t="s">
        <v>18</v>
      </c>
      <c r="L3" s="24"/>
      <c r="M3" s="24"/>
      <c r="N3" s="24"/>
    </row>
    <row r="4" spans="1:18" s="25" customFormat="1" ht="15" customHeight="1" x14ac:dyDescent="0.2">
      <c r="A4" s="26">
        <f>IF($B4="","",ROW()-3)</f>
        <v>1</v>
      </c>
      <c r="B4" s="29">
        <f>IF(ISNA($N4),"",$N4)</f>
        <v>27</v>
      </c>
      <c r="C4" s="43" t="str">
        <f>IF(ISNA($N4),"",VLOOKUP($B4,Reg!$M$3:$N$202,2,0))</f>
        <v>Гараев Максим</v>
      </c>
      <c r="D4" s="30">
        <f>IF(ISNA($N4),"",VLOOKUP($B4,Reg!$M$3:$O$202,3,0))</f>
        <v>39122</v>
      </c>
      <c r="E4" s="34">
        <v>69.685000000000002</v>
      </c>
      <c r="F4" s="40">
        <v>1</v>
      </c>
      <c r="G4" s="53">
        <f>IF(ISBLANK($E4),"",IF(ISBLANK($F4),0,$F4*2))</f>
        <v>2</v>
      </c>
      <c r="H4" s="37" t="str">
        <f>IF(ISBLANK($E4),"",TEXT($P4,"###")&amp;IF($P4=0,""," мин ")&amp;TEXT($E4+$G4-$P4*60,"###,###")&amp;" с")</f>
        <v>1 мин 11,685 с</v>
      </c>
      <c r="I4" s="29" t="str">
        <f>IF(ISNA($N4),"",VLOOKUP($B4,Reg!$M$3:$P$200,4,0))</f>
        <v>Ульяновск</v>
      </c>
      <c r="J4" s="45" t="str">
        <f>IF(ISNA($O4),"",IF($O4=0,"",$O4))</f>
        <v xml:space="preserve"> </v>
      </c>
      <c r="K4" s="48">
        <f>IF($E4&gt;0,RANK($Q4,$Q$4:$Q$50,1),"")</f>
        <v>1</v>
      </c>
      <c r="L4" s="27"/>
      <c r="M4" s="24"/>
      <c r="N4" s="24">
        <f>VLOOKUP(1,Reg!$A$2:$M$202,13,0)</f>
        <v>27</v>
      </c>
      <c r="O4" s="25" t="str">
        <f>VLOOKUP($B4,Reg!$M$3:$Q$202,5,0)</f>
        <v xml:space="preserve"> </v>
      </c>
      <c r="P4" s="25">
        <f>INT((E4+G4)/60)</f>
        <v>1</v>
      </c>
      <c r="Q4" s="47">
        <f>IF($E4&gt;0,$E4+$G4,1000)</f>
        <v>71.685000000000002</v>
      </c>
      <c r="R4" s="25">
        <v>1</v>
      </c>
    </row>
    <row r="5" spans="1:18" s="25" customFormat="1" ht="15" customHeight="1" x14ac:dyDescent="0.2">
      <c r="A5" s="26">
        <f>IF($B5="","",ROW()-3)</f>
        <v>2</v>
      </c>
      <c r="B5" s="29">
        <f>IF(ISNA($N5),"",$N5)</f>
        <v>16</v>
      </c>
      <c r="C5" s="43" t="str">
        <f>IF(ISNA($N5),"",VLOOKUP($B5,Reg!$M$3:$N$202,2,0))</f>
        <v>Рудкевич Гриша</v>
      </c>
      <c r="D5" s="31">
        <f>IF(ISNA($N5),"",VLOOKUP($B5,Reg!$M$3:$O$202,3,0))</f>
        <v>39084</v>
      </c>
      <c r="E5" s="35">
        <v>72.055000000000007</v>
      </c>
      <c r="F5" s="41">
        <v>1</v>
      </c>
      <c r="G5" s="36">
        <f>IF(ISBLANK($E5),"",IF(ISBLANK($F5),0,$F5*2))</f>
        <v>2</v>
      </c>
      <c r="H5" s="38" t="str">
        <f>IF(ISBLANK($E5),"",TEXT($P5,"###")&amp;IF($P5=0,""," мин ")&amp;TEXT($E5+$G5-$P5*60,"###,###")&amp;" с")</f>
        <v>1 мин 14,055 с</v>
      </c>
      <c r="I5" s="29" t="str">
        <f>IF(ISNA($N5),"",VLOOKUP($B5,Reg!$M$3:$P$200,4,0))</f>
        <v>Ульяновск</v>
      </c>
      <c r="J5" s="46" t="str">
        <f>IF(ISNA($O5),"",IF($O5=0,"",$O5))</f>
        <v>UNITY</v>
      </c>
      <c r="K5" s="49">
        <f>IF($E5&gt;0,RANK($Q5,$Q$4:$Q$50,1),"")</f>
        <v>2</v>
      </c>
      <c r="L5" s="24"/>
      <c r="M5" s="24"/>
      <c r="N5" s="24">
        <f>VLOOKUP(8,Reg!$A$2:$M$202,13,0)</f>
        <v>16</v>
      </c>
      <c r="O5" s="25" t="str">
        <f>VLOOKUP($B5,Reg!$M$3:$Q$202,5,0)</f>
        <v>UNITY</v>
      </c>
      <c r="P5" s="25">
        <f>INT((E5+G5)/60)</f>
        <v>1</v>
      </c>
      <c r="Q5" s="47">
        <f>IF($E5&gt;0,$E5+$G5,1000)</f>
        <v>74.055000000000007</v>
      </c>
      <c r="R5" s="25">
        <v>8</v>
      </c>
    </row>
    <row r="6" spans="1:18" s="25" customFormat="1" ht="15" customHeight="1" x14ac:dyDescent="0.2">
      <c r="A6" s="26">
        <f>IF($B6="","",ROW()-3)</f>
        <v>3</v>
      </c>
      <c r="B6" s="29">
        <f>IF(ISNA($N6),"",$N6)</f>
        <v>4</v>
      </c>
      <c r="C6" s="43" t="str">
        <f>IF(ISNA($N6),"",VLOOKUP($B6,Reg!$M$3:$N$202,2,0))</f>
        <v>Горшков Михаил</v>
      </c>
      <c r="D6" s="31">
        <f>IF(ISNA($N6),"",VLOOKUP($B6,Reg!$M$3:$O$202,3,0))</f>
        <v>39556</v>
      </c>
      <c r="E6" s="35">
        <v>82.793999999999997</v>
      </c>
      <c r="F6" s="41">
        <v>2</v>
      </c>
      <c r="G6" s="36">
        <f>IF(ISBLANK($E6),"",IF(ISBLANK($F6),0,$F6*2))</f>
        <v>4</v>
      </c>
      <c r="H6" s="38" t="str">
        <f>IF(ISBLANK($E6),"",TEXT($P6,"###")&amp;IF($P6=0,""," мин ")&amp;TEXT($E6+$G6-$P6*60,"###,###")&amp;" с")</f>
        <v>1 мин 26,794 с</v>
      </c>
      <c r="I6" s="29" t="str">
        <f>IF(ISNA($N6),"",VLOOKUP($B6,Reg!$M$3:$P$200,4,0))</f>
        <v>Ульяновск</v>
      </c>
      <c r="J6" s="46" t="str">
        <f>IF(ISNA($O6),"",IF($O6=0,"",$O6))</f>
        <v>UNITY</v>
      </c>
      <c r="K6" s="49">
        <f>IF($E6&gt;0,RANK($Q6,$Q$4:$Q$50,1),"")</f>
        <v>3</v>
      </c>
      <c r="L6" s="24"/>
      <c r="M6" s="24"/>
      <c r="N6" s="24">
        <f>VLOOKUP(2,Reg!$A$2:$M$202,13,0)</f>
        <v>4</v>
      </c>
      <c r="O6" s="25" t="str">
        <f>VLOOKUP($B6,Reg!$M$3:$Q$202,5,0)</f>
        <v>UNITY</v>
      </c>
      <c r="P6" s="25">
        <f>INT((E6+G6)/60)</f>
        <v>1</v>
      </c>
      <c r="Q6" s="47">
        <f>IF($E6&gt;0,$E6+$G6,1000)</f>
        <v>86.793999999999997</v>
      </c>
      <c r="R6" s="25">
        <v>2</v>
      </c>
    </row>
    <row r="7" spans="1:18" s="25" customFormat="1" ht="15" customHeight="1" x14ac:dyDescent="0.2">
      <c r="A7" s="26">
        <f>IF($B7="","",ROW()-3)</f>
        <v>4</v>
      </c>
      <c r="B7" s="29">
        <f>IF(ISNA($N7),"",$N7)</f>
        <v>1</v>
      </c>
      <c r="C7" s="43" t="str">
        <f>IF(ISNA($N7),"",VLOOKUP($B7,Reg!$M$3:$N$202,2,0))</f>
        <v>Емельянов Александр</v>
      </c>
      <c r="D7" s="31">
        <f>IF(ISNA($N7),"",VLOOKUP($B7,Reg!$M$3:$O$202,3,0))</f>
        <v>39818</v>
      </c>
      <c r="E7" s="35">
        <v>78.989000000000004</v>
      </c>
      <c r="F7" s="41">
        <v>4</v>
      </c>
      <c r="G7" s="36">
        <f>IF(ISBLANK($E7),"",IF(ISBLANK($F7),0,$F7*2))</f>
        <v>8</v>
      </c>
      <c r="H7" s="38" t="str">
        <f>IF(ISBLANK($E7),"",TEXT($P7,"###")&amp;IF($P7=0,""," мин ")&amp;TEXT($E7+$G7-$P7*60,"###,###")&amp;" с")</f>
        <v>1 мин 26,989 с</v>
      </c>
      <c r="I7" s="29" t="str">
        <f>IF(ISNA($N7),"",VLOOKUP($B7,Reg!$M$3:$P$200,4,0))</f>
        <v>Ульяновск</v>
      </c>
      <c r="J7" s="46" t="str">
        <f>IF(ISNA($O7),"",IF($O7=0,"",$O7))</f>
        <v>UNITY</v>
      </c>
      <c r="K7" s="49">
        <f>IF($E7&gt;0,RANK($Q7,$Q$4:$Q$50,1),"")</f>
        <v>4</v>
      </c>
      <c r="L7" s="24"/>
      <c r="M7" s="24"/>
      <c r="N7" s="24">
        <f>VLOOKUP(3,Reg!$A$2:$M$202,13,0)</f>
        <v>1</v>
      </c>
      <c r="O7" s="25" t="str">
        <f>VLOOKUP($B7,Reg!$M$3:$Q$202,5,0)</f>
        <v>UNITY</v>
      </c>
      <c r="P7" s="25">
        <f>INT((E7+G7)/60)</f>
        <v>1</v>
      </c>
      <c r="Q7" s="47">
        <f>IF($E7&gt;0,$E7+$G7,1000)</f>
        <v>86.989000000000004</v>
      </c>
      <c r="R7" s="25">
        <v>3</v>
      </c>
    </row>
    <row r="8" spans="1:18" s="25" customFormat="1" ht="15" customHeight="1" x14ac:dyDescent="0.2">
      <c r="A8" s="26">
        <f>IF($B8="","",ROW()-3)</f>
        <v>5</v>
      </c>
      <c r="B8" s="29">
        <f>IF(ISNA($N8),"",$N8)</f>
        <v>24</v>
      </c>
      <c r="C8" s="43" t="str">
        <f>IF(ISNA($N8),"",VLOOKUP($B8,Reg!$M$3:$N$202,2,0))</f>
        <v>Юсов Артем</v>
      </c>
      <c r="D8" s="31">
        <f>IF(ISNA($N8),"",VLOOKUP($B8,Reg!$M$3:$O$202,3,0))</f>
        <v>39705</v>
      </c>
      <c r="E8" s="35">
        <v>100.07299999999999</v>
      </c>
      <c r="F8" s="41">
        <v>1</v>
      </c>
      <c r="G8" s="36">
        <f>IF(ISBLANK($E8),"",IF(ISBLANK($F8),0,$F8*2))</f>
        <v>2</v>
      </c>
      <c r="H8" s="38" t="str">
        <f>IF(ISBLANK($E8),"",TEXT($P8,"###")&amp;IF($P8=0,""," мин ")&amp;TEXT($E8+$G8-$P8*60,"###,###")&amp;" с")</f>
        <v>1 мин 42,073 с</v>
      </c>
      <c r="I8" s="29" t="str">
        <f>IF(ISNA($N8),"",VLOOKUP($B8,Reg!$M$3:$P$200,4,0))</f>
        <v>Ульяновск</v>
      </c>
      <c r="J8" s="46" t="str">
        <f>IF(ISNA($O8),"",IF($O8=0,"",$O8))</f>
        <v>UNITY</v>
      </c>
      <c r="K8" s="49">
        <f>IF($E8&gt;0,RANK($Q8,$Q$4:$Q$50,1),"")</f>
        <v>5</v>
      </c>
      <c r="L8" s="24"/>
      <c r="M8" s="24"/>
      <c r="N8" s="24">
        <f>VLOOKUP(9,Reg!$A$2:$M$202,13,0)</f>
        <v>24</v>
      </c>
      <c r="O8" s="25" t="str">
        <f>VLOOKUP($B8,Reg!$M$3:$Q$202,5,0)</f>
        <v>UNITY</v>
      </c>
      <c r="P8" s="25">
        <f>INT((E8+G8)/60)</f>
        <v>1</v>
      </c>
      <c r="Q8" s="47">
        <f>IF($E8&gt;0,$E8+$G8,1000)</f>
        <v>102.07299999999999</v>
      </c>
      <c r="R8" s="25">
        <v>9</v>
      </c>
    </row>
    <row r="9" spans="1:18" s="25" customFormat="1" ht="15" customHeight="1" x14ac:dyDescent="0.2">
      <c r="A9" s="26">
        <f>IF($B9="","",ROW()-3)</f>
        <v>6</v>
      </c>
      <c r="B9" s="29">
        <f>IF(ISNA($N9),"",$N9)</f>
        <v>50</v>
      </c>
      <c r="C9" s="43" t="str">
        <f>IF(ISNA($N9),"",VLOOKUP($B9,Reg!$M$3:$N$202,2,0))</f>
        <v>Зубков Вадим</v>
      </c>
      <c r="D9" s="31">
        <f>IF(ISNA($N9),"",VLOOKUP($B9,Reg!$M$3:$O$202,3,0))</f>
        <v>39576</v>
      </c>
      <c r="E9" s="35">
        <v>110.404</v>
      </c>
      <c r="F9" s="41">
        <v>0</v>
      </c>
      <c r="G9" s="36">
        <f>IF(ISBLANK($E9),"",IF(ISBLANK($F9),0,$F9*2))</f>
        <v>0</v>
      </c>
      <c r="H9" s="38" t="str">
        <f>IF(ISBLANK($E9),"",TEXT($P9,"###")&amp;IF($P9=0,""," мин ")&amp;TEXT($E9+$G9-$P9*60,"###,###")&amp;" с")</f>
        <v>1 мин 50,404 с</v>
      </c>
      <c r="I9" s="29" t="str">
        <f>IF(ISNA($N9),"",VLOOKUP($B9,Reg!$M$3:$P$200,4,0))</f>
        <v>Ульяновск</v>
      </c>
      <c r="J9" s="46" t="str">
        <f>IF(ISNA($O9),"",IF($O9=0,"",$O9))</f>
        <v xml:space="preserve"> </v>
      </c>
      <c r="K9" s="49">
        <f>IF($E9&gt;0,RANK($Q9,$Q$4:$Q$50,1),"")</f>
        <v>6</v>
      </c>
      <c r="L9" s="24"/>
      <c r="M9" s="24"/>
      <c r="N9" s="24">
        <f>VLOOKUP(4,Reg!$A$2:$M$202,13,0)</f>
        <v>50</v>
      </c>
      <c r="O9" s="25" t="str">
        <f>VLOOKUP($B9,Reg!$M$3:$Q$202,5,0)</f>
        <v xml:space="preserve"> </v>
      </c>
      <c r="P9" s="25">
        <f>INT((E9+G9)/60)</f>
        <v>1</v>
      </c>
      <c r="Q9" s="47">
        <f>IF($E9&gt;0,$E9+$G9,1000)</f>
        <v>110.404</v>
      </c>
      <c r="R9" s="25">
        <v>4</v>
      </c>
    </row>
    <row r="10" spans="1:18" s="25" customFormat="1" ht="15" customHeight="1" x14ac:dyDescent="0.2">
      <c r="A10" s="26">
        <f>IF($B10="","",ROW()-3)</f>
        <v>7</v>
      </c>
      <c r="B10" s="29">
        <f>IF(ISNA($N10),"",$N10)</f>
        <v>23</v>
      </c>
      <c r="C10" s="43" t="str">
        <f>IF(ISNA($N10),"",VLOOKUP($B10,Reg!$M$3:$N$202,2,0))</f>
        <v>Максимов Артём</v>
      </c>
      <c r="D10" s="31">
        <f>IF(ISNA($N10),"",VLOOKUP($B10,Reg!$M$3:$O$202,3,0))</f>
        <v>40299</v>
      </c>
      <c r="E10" s="35">
        <v>121.837</v>
      </c>
      <c r="F10" s="41">
        <v>4</v>
      </c>
      <c r="G10" s="36">
        <f>IF(ISBLANK($E10),"",IF(ISBLANK($F10),0,$F10*2))</f>
        <v>8</v>
      </c>
      <c r="H10" s="38" t="str">
        <f>IF(ISBLANK($E10),"",TEXT($P10,"###")&amp;IF($P10=0,""," мин ")&amp;TEXT($E10+$G10-$P10*60,"###,###")&amp;" с")</f>
        <v>2 мин 9,837 с</v>
      </c>
      <c r="I10" s="29" t="str">
        <f>IF(ISNA($N10),"",VLOOKUP($B10,Reg!$M$3:$P$200,4,0))</f>
        <v>Ульяновск</v>
      </c>
      <c r="J10" s="46" t="str">
        <f>IF(ISNA($O10),"",IF($O10=0,"",$O10))</f>
        <v xml:space="preserve"> </v>
      </c>
      <c r="K10" s="49">
        <f>IF($E10&gt;0,RANK($Q10,$Q$4:$Q$50,1),"")</f>
        <v>7</v>
      </c>
      <c r="L10" s="24"/>
      <c r="M10" s="24"/>
      <c r="N10" s="24">
        <f>VLOOKUP(6,Reg!$A$2:$M$202,13,0)</f>
        <v>23</v>
      </c>
      <c r="O10" s="25" t="str">
        <f>VLOOKUP($B10,Reg!$M$3:$Q$202,5,0)</f>
        <v xml:space="preserve"> </v>
      </c>
      <c r="P10" s="25">
        <f>INT((E10+G10)/60)</f>
        <v>2</v>
      </c>
      <c r="Q10" s="47">
        <f>IF($E10&gt;0,$E10+$G10,1000)</f>
        <v>129.83699999999999</v>
      </c>
      <c r="R10" s="25">
        <v>6</v>
      </c>
    </row>
    <row r="11" spans="1:18" s="25" customFormat="1" ht="15" customHeight="1" x14ac:dyDescent="0.2">
      <c r="A11" s="26">
        <f>IF($B11="","",ROW()-3)</f>
        <v>8</v>
      </c>
      <c r="B11" s="29">
        <f>IF(ISNA($N11),"",$N11)</f>
        <v>49</v>
      </c>
      <c r="C11" s="43" t="str">
        <f>IF(ISNA($N11),"",VLOOKUP($B11,Reg!$M$3:$N$202,2,0))</f>
        <v>Первак Юрий</v>
      </c>
      <c r="D11" s="31">
        <f>IF(ISNA($N11),"",VLOOKUP($B11,Reg!$M$3:$O$202,3,0))</f>
        <v>40112</v>
      </c>
      <c r="E11" s="35">
        <v>131.16</v>
      </c>
      <c r="F11" s="41">
        <v>2</v>
      </c>
      <c r="G11" s="36">
        <f>IF(ISBLANK($E11),"",IF(ISBLANK($F11),0,$F11*2))</f>
        <v>4</v>
      </c>
      <c r="H11" s="38" t="str">
        <f>IF(ISBLANK($E11),"",TEXT($P11,"###")&amp;IF($P11=0,""," мин ")&amp;TEXT($E11+$G11-$P11*60,"###,###")&amp;" с")</f>
        <v>2 мин 15,16 с</v>
      </c>
      <c r="I11" s="29" t="str">
        <f>IF(ISNA($N11),"",VLOOKUP($B11,Reg!$M$3:$P$200,4,0))</f>
        <v>Ульяновск</v>
      </c>
      <c r="J11" s="46" t="str">
        <f>IF(ISNA($O11),"",IF($O11=0,"",$O11))</f>
        <v xml:space="preserve"> </v>
      </c>
      <c r="K11" s="49">
        <f>IF($E11&gt;0,RANK($Q11,$Q$4:$Q$50,1),"")</f>
        <v>8</v>
      </c>
      <c r="L11" s="27"/>
      <c r="M11" s="24"/>
      <c r="N11" s="24">
        <f>VLOOKUP(7,Reg!$A$2:$M$202,13,0)</f>
        <v>49</v>
      </c>
      <c r="O11" s="25" t="str">
        <f>VLOOKUP($B11,Reg!$M$3:$Q$202,5,0)</f>
        <v xml:space="preserve"> </v>
      </c>
      <c r="P11" s="25">
        <f>INT((E11+G11)/60)</f>
        <v>2</v>
      </c>
      <c r="Q11" s="47">
        <f>IF($E11&gt;0,$E11+$G11,1000)</f>
        <v>135.16</v>
      </c>
      <c r="R11" s="25">
        <v>7</v>
      </c>
    </row>
    <row r="12" spans="1:18" s="25" customFormat="1" ht="15" customHeight="1" x14ac:dyDescent="0.2">
      <c r="A12" s="26">
        <f>IF($B12="","",ROW()-3)</f>
        <v>9</v>
      </c>
      <c r="B12" s="29">
        <f>IF(ISNA($N12),"",$N12)</f>
        <v>37</v>
      </c>
      <c r="C12" s="43" t="str">
        <f>IF(ISNA($N12),"",VLOOKUP($B12,Reg!$M$3:$N$202,2,0))</f>
        <v>Козлов Арсений</v>
      </c>
      <c r="D12" s="31">
        <f>IF(ISNA($N12),"",VLOOKUP($B12,Reg!$M$3:$O$202,3,0))</f>
        <v>40051</v>
      </c>
      <c r="E12" s="35">
        <v>173.8</v>
      </c>
      <c r="F12" s="41">
        <v>5</v>
      </c>
      <c r="G12" s="36">
        <f>IF(ISBLANK($E12),"",IF(ISBLANK($F12),0,$F12*2))</f>
        <v>10</v>
      </c>
      <c r="H12" s="38" t="str">
        <f>IF(ISBLANK($E12),"",TEXT($P12,"###")&amp;IF($P12=0,""," мин ")&amp;TEXT($E12+$G12-$P12*60,"###,###")&amp;" с")</f>
        <v>3 мин 3,8 с</v>
      </c>
      <c r="I12" s="29" t="str">
        <f>IF(ISNA($N12),"",VLOOKUP($B12,Reg!$M$3:$P$200,4,0))</f>
        <v>Ульяновск</v>
      </c>
      <c r="J12" s="46" t="str">
        <f>IF(ISNA($O12),"",IF($O12=0,"",$O12))</f>
        <v>UNITY</v>
      </c>
      <c r="K12" s="49">
        <f>IF($E12&gt;0,RANK($Q12,$Q$4:$Q$50,1),"")</f>
        <v>9</v>
      </c>
      <c r="L12" s="24"/>
      <c r="M12" s="24"/>
      <c r="N12" s="24">
        <f>VLOOKUP(5,Reg!$A$2:$M$202,13,0)</f>
        <v>37</v>
      </c>
      <c r="O12" s="25" t="str">
        <f>VLOOKUP($B12,Reg!$M$3:$Q$202,5,0)</f>
        <v>UNITY</v>
      </c>
      <c r="P12" s="25">
        <f>INT((E12+G12)/60)</f>
        <v>3</v>
      </c>
      <c r="Q12" s="47">
        <f>IF($E12&gt;0,$E12+$G12,1000)</f>
        <v>183.8</v>
      </c>
      <c r="R12" s="25">
        <v>5</v>
      </c>
    </row>
    <row r="13" spans="1:18" ht="15" customHeight="1" x14ac:dyDescent="0.2">
      <c r="A13" s="26" t="str">
        <f t="shared" ref="A10:A30" si="0">IF($B13="","",ROW()-3)</f>
        <v/>
      </c>
      <c r="B13" s="29" t="str">
        <f t="shared" ref="B10:B30" si="1">IF(ISNA($N13),"",$N13)</f>
        <v/>
      </c>
      <c r="C13" s="43" t="str">
        <f>IF(ISNA($N13),"",VLOOKUP($B13,Reg!$M$3:$N$202,2,0))</f>
        <v/>
      </c>
      <c r="D13" s="31" t="str">
        <f>IF(ISNA($N13),"",VLOOKUP($B13,Reg!$M$3:$O$202,3,0))</f>
        <v/>
      </c>
      <c r="E13" s="35"/>
      <c r="F13" s="41"/>
      <c r="G13" s="36" t="str">
        <f t="shared" ref="G10:G30" si="2">IF(ISBLANK($E13),"",IF(ISBLANK($F13),0,$F13*2))</f>
        <v/>
      </c>
      <c r="H13" s="38" t="str">
        <f t="shared" ref="H10:H30" si="3">IF(ISBLANK($E13),"",TEXT($P13,"###")&amp;IF($P13=0,""," мин ")&amp;TEXT($E13+$G13-$P13*60,"###,###")&amp;" с")</f>
        <v/>
      </c>
      <c r="I13" s="29" t="str">
        <f>IF(ISNA($N13),"",VLOOKUP($B13,Reg!$M$3:$P$200,4,0))</f>
        <v/>
      </c>
      <c r="J13" s="46" t="str">
        <f t="shared" ref="J10:J30" si="4">IF(ISNA($O13),"",IF($O13=0,"",$O13))</f>
        <v/>
      </c>
      <c r="K13" s="49" t="str">
        <f t="shared" ref="K10:K30" si="5">IF($E13&gt;0,RANK($Q13,$Q$4:$Q$50,1),"")</f>
        <v/>
      </c>
      <c r="L13" s="24"/>
      <c r="M13" s="24"/>
      <c r="N13" s="24" t="e">
        <f>VLOOKUP(10,Reg!$A$2:$M$202,13,0)</f>
        <v>#N/A</v>
      </c>
      <c r="O13" s="25" t="e">
        <f>VLOOKUP($B13,Reg!$M$3:$Q$202,5,0)</f>
        <v>#N/A</v>
      </c>
      <c r="P13" s="25" t="e">
        <f t="shared" ref="P10:P30" si="6">INT((E13+G13)/60)</f>
        <v>#VALUE!</v>
      </c>
      <c r="Q13" s="47">
        <f t="shared" ref="Q10:Q30" si="7">IF($E13&gt;0,$E13+$G13,1000)</f>
        <v>1000</v>
      </c>
      <c r="R13" s="54">
        <v>10</v>
      </c>
    </row>
    <row r="14" spans="1:18" ht="15" customHeight="1" x14ac:dyDescent="0.2">
      <c r="A14" s="26" t="str">
        <f t="shared" si="0"/>
        <v/>
      </c>
      <c r="B14" s="29" t="str">
        <f t="shared" si="1"/>
        <v/>
      </c>
      <c r="C14" s="43" t="str">
        <f>IF(ISNA($N14),"",VLOOKUP($B14,Reg!$M$3:$N$202,2,0))</f>
        <v/>
      </c>
      <c r="D14" s="31" t="str">
        <f>IF(ISNA($N14),"",VLOOKUP($B14,Reg!$M$3:$O$202,3,0))</f>
        <v/>
      </c>
      <c r="E14" s="35"/>
      <c r="F14" s="41"/>
      <c r="G14" s="52" t="str">
        <f t="shared" si="2"/>
        <v/>
      </c>
      <c r="H14" s="38" t="str">
        <f t="shared" si="3"/>
        <v/>
      </c>
      <c r="I14" s="29" t="str">
        <f>IF(ISNA($N14),"",VLOOKUP($B14,Reg!$M$3:$P$200,4,0))</f>
        <v/>
      </c>
      <c r="J14" s="46" t="str">
        <f t="shared" si="4"/>
        <v/>
      </c>
      <c r="K14" s="49" t="str">
        <f t="shared" si="5"/>
        <v/>
      </c>
      <c r="L14" s="24"/>
      <c r="M14" s="24"/>
      <c r="N14" s="24" t="e">
        <f>VLOOKUP(11,Reg!$A$2:$M$202,13,0)</f>
        <v>#N/A</v>
      </c>
      <c r="O14" s="25" t="e">
        <f>VLOOKUP($B14,Reg!$M$3:$Q$202,5,0)</f>
        <v>#N/A</v>
      </c>
      <c r="P14" s="25" t="e">
        <f t="shared" si="6"/>
        <v>#VALUE!</v>
      </c>
      <c r="Q14" s="47">
        <f t="shared" si="7"/>
        <v>1000</v>
      </c>
      <c r="R14" s="54">
        <v>11</v>
      </c>
    </row>
    <row r="15" spans="1:18" ht="15" customHeight="1" x14ac:dyDescent="0.2">
      <c r="A15" s="26" t="str">
        <f t="shared" si="0"/>
        <v/>
      </c>
      <c r="B15" s="29" t="str">
        <f t="shared" si="1"/>
        <v/>
      </c>
      <c r="C15" s="43" t="str">
        <f>IF(ISNA($N15),"",VLOOKUP($B15,Reg!$M$3:$N$202,2,0))</f>
        <v/>
      </c>
      <c r="D15" s="31" t="str">
        <f>IF(ISNA($N15),"",VLOOKUP($B15,Reg!$M$3:$O$202,3,0))</f>
        <v/>
      </c>
      <c r="E15" s="35"/>
      <c r="F15" s="41"/>
      <c r="G15" s="36" t="str">
        <f t="shared" si="2"/>
        <v/>
      </c>
      <c r="H15" s="38" t="str">
        <f t="shared" si="3"/>
        <v/>
      </c>
      <c r="I15" s="29" t="str">
        <f>IF(ISNA($N15),"",VLOOKUP($B15,Reg!$M$3:$P$200,4,0))</f>
        <v/>
      </c>
      <c r="J15" s="46" t="str">
        <f t="shared" si="4"/>
        <v/>
      </c>
      <c r="K15" s="49" t="str">
        <f t="shared" si="5"/>
        <v/>
      </c>
      <c r="L15" s="27"/>
      <c r="M15" s="24"/>
      <c r="N15" s="24" t="e">
        <f>VLOOKUP(12,Reg!$A$2:$M$202,13,0)</f>
        <v>#N/A</v>
      </c>
      <c r="O15" s="25" t="e">
        <f>VLOOKUP($B15,Reg!$M$3:$Q$202,5,0)</f>
        <v>#N/A</v>
      </c>
      <c r="P15" s="25" t="e">
        <f t="shared" si="6"/>
        <v>#VALUE!</v>
      </c>
      <c r="Q15" s="47">
        <f t="shared" si="7"/>
        <v>1000</v>
      </c>
      <c r="R15" s="54">
        <v>12</v>
      </c>
    </row>
    <row r="16" spans="1:18" ht="15" customHeight="1" x14ac:dyDescent="0.2">
      <c r="A16" s="26" t="str">
        <f t="shared" si="0"/>
        <v/>
      </c>
      <c r="B16" s="29" t="str">
        <f t="shared" si="1"/>
        <v/>
      </c>
      <c r="C16" s="43" t="str">
        <f>IF(ISNA($N16),"",VLOOKUP($B16,Reg!$M$3:$N$202,2,0))</f>
        <v/>
      </c>
      <c r="D16" s="31" t="str">
        <f>IF(ISNA($N16),"",VLOOKUP($B16,Reg!$M$3:$O$202,3,0))</f>
        <v/>
      </c>
      <c r="E16" s="35"/>
      <c r="F16" s="41"/>
      <c r="G16" s="36" t="str">
        <f t="shared" si="2"/>
        <v/>
      </c>
      <c r="H16" s="38" t="str">
        <f t="shared" si="3"/>
        <v/>
      </c>
      <c r="I16" s="29" t="str">
        <f>IF(ISNA($N16),"",VLOOKUP($B16,Reg!$M$3:$P$200,4,0))</f>
        <v/>
      </c>
      <c r="J16" s="46" t="str">
        <f t="shared" si="4"/>
        <v/>
      </c>
      <c r="K16" s="49" t="str">
        <f t="shared" si="5"/>
        <v/>
      </c>
      <c r="L16" s="27"/>
      <c r="M16" s="24"/>
      <c r="N16" s="24" t="e">
        <f>VLOOKUP(13,Reg!$A$2:$M$202,13,0)</f>
        <v>#N/A</v>
      </c>
      <c r="O16" s="25" t="e">
        <f>VLOOKUP($B16,Reg!$M$3:$Q$202,5,0)</f>
        <v>#N/A</v>
      </c>
      <c r="P16" s="25" t="e">
        <f t="shared" si="6"/>
        <v>#VALUE!</v>
      </c>
      <c r="Q16" s="47">
        <f t="shared" si="7"/>
        <v>1000</v>
      </c>
      <c r="R16" s="54">
        <v>13</v>
      </c>
    </row>
    <row r="17" spans="1:18" ht="15" customHeight="1" x14ac:dyDescent="0.2">
      <c r="A17" s="26" t="str">
        <f t="shared" si="0"/>
        <v/>
      </c>
      <c r="B17" s="29" t="str">
        <f t="shared" si="1"/>
        <v/>
      </c>
      <c r="C17" s="43" t="str">
        <f>IF(ISNA($N17),"",VLOOKUP($B17,Reg!$M$3:$N$202,2,0))</f>
        <v/>
      </c>
      <c r="D17" s="31" t="str">
        <f>IF(ISNA($N17),"",VLOOKUP($B17,Reg!$M$3:$O$202,3,0))</f>
        <v/>
      </c>
      <c r="E17" s="35"/>
      <c r="F17" s="41"/>
      <c r="G17" s="36" t="str">
        <f t="shared" si="2"/>
        <v/>
      </c>
      <c r="H17" s="38" t="str">
        <f t="shared" si="3"/>
        <v/>
      </c>
      <c r="I17" s="29" t="str">
        <f>IF(ISNA($N17),"",VLOOKUP($B17,Reg!$M$3:$P$200,4,0))</f>
        <v/>
      </c>
      <c r="J17" s="46" t="str">
        <f t="shared" si="4"/>
        <v/>
      </c>
      <c r="K17" s="49" t="str">
        <f t="shared" si="5"/>
        <v/>
      </c>
      <c r="L17" s="27"/>
      <c r="M17" s="24"/>
      <c r="N17" s="24" t="e">
        <f>VLOOKUP(14,Reg!$A$2:$M$202,13,0)</f>
        <v>#N/A</v>
      </c>
      <c r="O17" s="25" t="e">
        <f>VLOOKUP($B17,Reg!$M$3:$Q$202,5,0)</f>
        <v>#N/A</v>
      </c>
      <c r="P17" s="25" t="e">
        <f t="shared" si="6"/>
        <v>#VALUE!</v>
      </c>
      <c r="Q17" s="47">
        <f t="shared" si="7"/>
        <v>1000</v>
      </c>
      <c r="R17" s="54">
        <v>14</v>
      </c>
    </row>
    <row r="18" spans="1:18" ht="15" customHeight="1" x14ac:dyDescent="0.2">
      <c r="A18" s="26" t="str">
        <f t="shared" si="0"/>
        <v/>
      </c>
      <c r="B18" s="29" t="str">
        <f t="shared" si="1"/>
        <v/>
      </c>
      <c r="C18" s="43" t="str">
        <f>IF(ISNA($N18),"",VLOOKUP($B18,Reg!$M$3:$N$202,2,0))</f>
        <v/>
      </c>
      <c r="D18" s="31" t="str">
        <f>IF(ISNA($N18),"",VLOOKUP($B18,Reg!$M$3:$O$202,3,0))</f>
        <v/>
      </c>
      <c r="E18" s="35"/>
      <c r="F18" s="41"/>
      <c r="G18" s="36" t="str">
        <f t="shared" si="2"/>
        <v/>
      </c>
      <c r="H18" s="38" t="str">
        <f t="shared" si="3"/>
        <v/>
      </c>
      <c r="I18" s="29" t="str">
        <f>IF(ISNA($N18),"",VLOOKUP($B18,Reg!$M$3:$P$200,4,0))</f>
        <v/>
      </c>
      <c r="J18" s="46" t="str">
        <f t="shared" si="4"/>
        <v/>
      </c>
      <c r="K18" s="49" t="str">
        <f t="shared" si="5"/>
        <v/>
      </c>
      <c r="L18" s="27"/>
      <c r="M18" s="24"/>
      <c r="N18" s="24" t="e">
        <f>VLOOKUP(15,Reg!$A$2:$M$202,13,0)</f>
        <v>#N/A</v>
      </c>
      <c r="O18" s="25" t="e">
        <f>VLOOKUP($B18,Reg!$M$3:$Q$202,5,0)</f>
        <v>#N/A</v>
      </c>
      <c r="P18" s="25" t="e">
        <f t="shared" si="6"/>
        <v>#VALUE!</v>
      </c>
      <c r="Q18" s="47">
        <f t="shared" si="7"/>
        <v>1000</v>
      </c>
      <c r="R18" s="54">
        <v>15</v>
      </c>
    </row>
    <row r="19" spans="1:18" ht="15" customHeight="1" x14ac:dyDescent="0.2">
      <c r="A19" s="26" t="str">
        <f t="shared" si="0"/>
        <v/>
      </c>
      <c r="B19" s="29" t="str">
        <f t="shared" si="1"/>
        <v/>
      </c>
      <c r="C19" s="43" t="str">
        <f>IF(ISNA($N19),"",VLOOKUP($B19,Reg!$M$3:$N$202,2,0))</f>
        <v/>
      </c>
      <c r="D19" s="31" t="str">
        <f>IF(ISNA($N19),"",VLOOKUP($B19,Reg!$M$3:$O$202,3,0))</f>
        <v/>
      </c>
      <c r="E19" s="35"/>
      <c r="F19" s="41"/>
      <c r="G19" s="36" t="str">
        <f t="shared" si="2"/>
        <v/>
      </c>
      <c r="H19" s="38" t="str">
        <f t="shared" si="3"/>
        <v/>
      </c>
      <c r="I19" s="29" t="str">
        <f>IF(ISNA($N19),"",VLOOKUP($B19,Reg!$M$3:$P$200,4,0))</f>
        <v/>
      </c>
      <c r="J19" s="46" t="str">
        <f t="shared" si="4"/>
        <v/>
      </c>
      <c r="K19" s="49" t="str">
        <f t="shared" si="5"/>
        <v/>
      </c>
      <c r="L19" s="27"/>
      <c r="M19" s="24"/>
      <c r="N19" s="24" t="e">
        <f>VLOOKUP(16,Reg!$A$2:$M$202,13,0)</f>
        <v>#N/A</v>
      </c>
      <c r="O19" s="25" t="e">
        <f>VLOOKUP($B19,Reg!$M$3:$Q$202,5,0)</f>
        <v>#N/A</v>
      </c>
      <c r="P19" s="25" t="e">
        <f t="shared" si="6"/>
        <v>#VALUE!</v>
      </c>
      <c r="Q19" s="47">
        <f t="shared" si="7"/>
        <v>1000</v>
      </c>
      <c r="R19" s="54">
        <v>16</v>
      </c>
    </row>
    <row r="20" spans="1:18" ht="15" customHeight="1" x14ac:dyDescent="0.2">
      <c r="A20" s="26" t="str">
        <f t="shared" si="0"/>
        <v/>
      </c>
      <c r="B20" s="29" t="str">
        <f t="shared" si="1"/>
        <v/>
      </c>
      <c r="C20" s="43" t="str">
        <f>IF(ISNA($N20),"",VLOOKUP($B20,Reg!$M$3:$N$202,2,0))</f>
        <v/>
      </c>
      <c r="D20" s="31" t="str">
        <f>IF(ISNA($N20),"",VLOOKUP($B20,Reg!$M$3:$O$202,3,0))</f>
        <v/>
      </c>
      <c r="E20" s="35"/>
      <c r="F20" s="41"/>
      <c r="G20" s="36" t="str">
        <f t="shared" si="2"/>
        <v/>
      </c>
      <c r="H20" s="38" t="str">
        <f t="shared" si="3"/>
        <v/>
      </c>
      <c r="I20" s="29" t="str">
        <f>IF(ISNA($N20),"",VLOOKUP($B20,Reg!$M$3:$P$200,4,0))</f>
        <v/>
      </c>
      <c r="J20" s="46" t="str">
        <f t="shared" si="4"/>
        <v/>
      </c>
      <c r="K20" s="49" t="str">
        <f t="shared" si="5"/>
        <v/>
      </c>
      <c r="L20" s="27"/>
      <c r="M20" s="24"/>
      <c r="N20" s="24" t="e">
        <f>VLOOKUP(17,Reg!$A$2:$M$202,13,0)</f>
        <v>#N/A</v>
      </c>
      <c r="O20" s="25" t="e">
        <f>VLOOKUP($B20,Reg!$M$3:$Q$202,5,0)</f>
        <v>#N/A</v>
      </c>
      <c r="P20" s="25" t="e">
        <f t="shared" si="6"/>
        <v>#VALUE!</v>
      </c>
      <c r="Q20" s="47">
        <f t="shared" si="7"/>
        <v>1000</v>
      </c>
      <c r="R20" s="54">
        <v>17</v>
      </c>
    </row>
    <row r="21" spans="1:18" ht="15" customHeight="1" x14ac:dyDescent="0.2">
      <c r="A21" s="26" t="str">
        <f t="shared" si="0"/>
        <v/>
      </c>
      <c r="B21" s="29" t="str">
        <f t="shared" si="1"/>
        <v/>
      </c>
      <c r="C21" s="43" t="str">
        <f>IF(ISNA($N21),"",VLOOKUP($B21,Reg!$M$3:$N$202,2,0))</f>
        <v/>
      </c>
      <c r="D21" s="31" t="str">
        <f>IF(ISNA($N21),"",VLOOKUP($B21,Reg!$M$3:$O$202,3,0))</f>
        <v/>
      </c>
      <c r="E21" s="35"/>
      <c r="F21" s="41"/>
      <c r="G21" s="36" t="str">
        <f t="shared" si="2"/>
        <v/>
      </c>
      <c r="H21" s="38" t="str">
        <f t="shared" si="3"/>
        <v/>
      </c>
      <c r="I21" s="29" t="str">
        <f>IF(ISNA($N21),"",VLOOKUP($B21,Reg!$M$3:$P$200,4,0))</f>
        <v/>
      </c>
      <c r="J21" s="46" t="str">
        <f t="shared" si="4"/>
        <v/>
      </c>
      <c r="K21" s="49" t="str">
        <f t="shared" si="5"/>
        <v/>
      </c>
      <c r="L21" s="27"/>
      <c r="M21" s="24"/>
      <c r="N21" s="24" t="e">
        <f>VLOOKUP(18,Reg!$A$2:$M$202,13,0)</f>
        <v>#N/A</v>
      </c>
      <c r="O21" s="25" t="e">
        <f>VLOOKUP($B21,Reg!$M$3:$Q$202,5,0)</f>
        <v>#N/A</v>
      </c>
      <c r="P21" s="25" t="e">
        <f t="shared" si="6"/>
        <v>#VALUE!</v>
      </c>
      <c r="Q21" s="47">
        <f t="shared" si="7"/>
        <v>1000</v>
      </c>
      <c r="R21" s="54">
        <v>18</v>
      </c>
    </row>
    <row r="22" spans="1:18" ht="15" customHeight="1" x14ac:dyDescent="0.2">
      <c r="A22" s="26" t="str">
        <f t="shared" si="0"/>
        <v/>
      </c>
      <c r="B22" s="29" t="str">
        <f t="shared" si="1"/>
        <v/>
      </c>
      <c r="C22" s="43" t="str">
        <f>IF(ISNA($N22),"",VLOOKUP($B22,Reg!$M$3:$N$202,2,0))</f>
        <v/>
      </c>
      <c r="D22" s="31" t="str">
        <f>IF(ISNA($N22),"",VLOOKUP($B22,Reg!$M$3:$O$202,3,0))</f>
        <v/>
      </c>
      <c r="E22" s="35"/>
      <c r="F22" s="41"/>
      <c r="G22" s="36" t="str">
        <f t="shared" si="2"/>
        <v/>
      </c>
      <c r="H22" s="38" t="str">
        <f t="shared" si="3"/>
        <v/>
      </c>
      <c r="I22" s="29" t="str">
        <f>IF(ISNA($N22),"",VLOOKUP($B22,Reg!$M$3:$P$200,4,0))</f>
        <v/>
      </c>
      <c r="J22" s="46" t="str">
        <f t="shared" si="4"/>
        <v/>
      </c>
      <c r="K22" s="49" t="str">
        <f t="shared" si="5"/>
        <v/>
      </c>
      <c r="L22" s="27"/>
      <c r="M22" s="24"/>
      <c r="N22" s="24" t="e">
        <f>VLOOKUP(19,Reg!$A$2:$M$202,13,0)</f>
        <v>#N/A</v>
      </c>
      <c r="O22" s="25" t="e">
        <f>VLOOKUP($B22,Reg!$M$3:$Q$202,5,0)</f>
        <v>#N/A</v>
      </c>
      <c r="P22" s="25" t="e">
        <f t="shared" si="6"/>
        <v>#VALUE!</v>
      </c>
      <c r="Q22" s="47">
        <f t="shared" si="7"/>
        <v>1000</v>
      </c>
      <c r="R22" s="54">
        <v>19</v>
      </c>
    </row>
    <row r="23" spans="1:18" ht="15" customHeight="1" x14ac:dyDescent="0.2">
      <c r="A23" s="26" t="str">
        <f t="shared" si="0"/>
        <v/>
      </c>
      <c r="B23" s="29" t="str">
        <f t="shared" si="1"/>
        <v/>
      </c>
      <c r="C23" s="43" t="str">
        <f>IF(ISNA($N23),"",VLOOKUP($B23,Reg!$M$3:$N$202,2,0))</f>
        <v/>
      </c>
      <c r="D23" s="31" t="str">
        <f>IF(ISNA($N23),"",VLOOKUP($B23,Reg!$M$3:$O$202,3,0))</f>
        <v/>
      </c>
      <c r="E23" s="35"/>
      <c r="F23" s="41"/>
      <c r="G23" s="36" t="str">
        <f t="shared" si="2"/>
        <v/>
      </c>
      <c r="H23" s="38" t="str">
        <f t="shared" si="3"/>
        <v/>
      </c>
      <c r="I23" s="29" t="str">
        <f>IF(ISNA($N23),"",VLOOKUP($B23,Reg!$M$3:$P$200,4,0))</f>
        <v/>
      </c>
      <c r="J23" s="46" t="str">
        <f t="shared" si="4"/>
        <v/>
      </c>
      <c r="K23" s="49" t="str">
        <f t="shared" si="5"/>
        <v/>
      </c>
      <c r="L23" s="27"/>
      <c r="M23" s="24"/>
      <c r="N23" s="24" t="e">
        <f>VLOOKUP(20,Reg!$A$2:$M$202,13,0)</f>
        <v>#N/A</v>
      </c>
      <c r="O23" s="25" t="e">
        <f>VLOOKUP($B23,Reg!$M$3:$Q$202,5,0)</f>
        <v>#N/A</v>
      </c>
      <c r="P23" s="25" t="e">
        <f t="shared" si="6"/>
        <v>#VALUE!</v>
      </c>
      <c r="Q23" s="47">
        <f t="shared" si="7"/>
        <v>1000</v>
      </c>
      <c r="R23" s="54">
        <v>20</v>
      </c>
    </row>
    <row r="24" spans="1:18" ht="15" customHeight="1" x14ac:dyDescent="0.2">
      <c r="A24" s="26" t="str">
        <f t="shared" si="0"/>
        <v/>
      </c>
      <c r="B24" s="29" t="str">
        <f t="shared" si="1"/>
        <v/>
      </c>
      <c r="C24" s="43" t="str">
        <f>IF(ISNA($N24),"",VLOOKUP($B24,Reg!$M$3:$N$202,2,0))</f>
        <v/>
      </c>
      <c r="D24" s="31" t="str">
        <f>IF(ISNA($N24),"",VLOOKUP($B24,Reg!$M$3:$O$202,3,0))</f>
        <v/>
      </c>
      <c r="E24" s="35"/>
      <c r="F24" s="41"/>
      <c r="G24" s="36" t="str">
        <f t="shared" si="2"/>
        <v/>
      </c>
      <c r="H24" s="38" t="str">
        <f t="shared" si="3"/>
        <v/>
      </c>
      <c r="I24" s="29" t="str">
        <f>IF(ISNA($N24),"",VLOOKUP($B24,Reg!$M$3:$P$200,4,0))</f>
        <v/>
      </c>
      <c r="J24" s="46" t="str">
        <f t="shared" si="4"/>
        <v/>
      </c>
      <c r="K24" s="49" t="str">
        <f t="shared" si="5"/>
        <v/>
      </c>
      <c r="L24" s="27"/>
      <c r="M24" s="24"/>
      <c r="N24" s="24" t="e">
        <f>VLOOKUP(21,Reg!$A$2:$M$202,13,0)</f>
        <v>#N/A</v>
      </c>
      <c r="O24" s="25" t="e">
        <f>VLOOKUP($B24,Reg!$M$3:$Q$202,5,0)</f>
        <v>#N/A</v>
      </c>
      <c r="P24" s="25" t="e">
        <f t="shared" si="6"/>
        <v>#VALUE!</v>
      </c>
      <c r="Q24" s="47">
        <f t="shared" si="7"/>
        <v>1000</v>
      </c>
      <c r="R24" s="54">
        <v>21</v>
      </c>
    </row>
    <row r="25" spans="1:18" ht="15" customHeight="1" x14ac:dyDescent="0.2">
      <c r="A25" s="26" t="str">
        <f t="shared" si="0"/>
        <v/>
      </c>
      <c r="B25" s="29" t="str">
        <f t="shared" si="1"/>
        <v/>
      </c>
      <c r="C25" s="43" t="str">
        <f>IF(ISNA($N25),"",VLOOKUP($B25,Reg!$M$3:$N$202,2,0))</f>
        <v/>
      </c>
      <c r="D25" s="31" t="str">
        <f>IF(ISNA($N25),"",VLOOKUP($B25,Reg!$M$3:$O$202,3,0))</f>
        <v/>
      </c>
      <c r="E25" s="35"/>
      <c r="F25" s="41"/>
      <c r="G25" s="36" t="str">
        <f t="shared" si="2"/>
        <v/>
      </c>
      <c r="H25" s="38" t="str">
        <f t="shared" si="3"/>
        <v/>
      </c>
      <c r="I25" s="29" t="str">
        <f>IF(ISNA($N25),"",VLOOKUP($B25,Reg!$M$3:$P$200,4,0))</f>
        <v/>
      </c>
      <c r="J25" s="46" t="str">
        <f t="shared" si="4"/>
        <v/>
      </c>
      <c r="K25" s="49" t="str">
        <f t="shared" si="5"/>
        <v/>
      </c>
      <c r="L25" s="27"/>
      <c r="M25" s="24"/>
      <c r="N25" s="24" t="e">
        <f>VLOOKUP(22,Reg!$A$2:$M$202,13,0)</f>
        <v>#N/A</v>
      </c>
      <c r="O25" s="25" t="e">
        <f>VLOOKUP($B25,Reg!$M$3:$Q$202,5,0)</f>
        <v>#N/A</v>
      </c>
      <c r="P25" s="25" t="e">
        <f t="shared" si="6"/>
        <v>#VALUE!</v>
      </c>
      <c r="Q25" s="47">
        <f t="shared" si="7"/>
        <v>1000</v>
      </c>
      <c r="R25" s="54">
        <v>22</v>
      </c>
    </row>
    <row r="26" spans="1:18" ht="15" customHeight="1" x14ac:dyDescent="0.2">
      <c r="A26" s="26" t="str">
        <f t="shared" si="0"/>
        <v/>
      </c>
      <c r="B26" s="29" t="str">
        <f t="shared" si="1"/>
        <v/>
      </c>
      <c r="C26" s="43" t="str">
        <f>IF(ISNA($N26),"",VLOOKUP($B26,Reg!$M$3:$N$202,2,0))</f>
        <v/>
      </c>
      <c r="D26" s="31" t="str">
        <f>IF(ISNA($N26),"",VLOOKUP($B26,Reg!$M$3:$O$202,3,0))</f>
        <v/>
      </c>
      <c r="E26" s="35"/>
      <c r="F26" s="41"/>
      <c r="G26" s="36" t="str">
        <f t="shared" si="2"/>
        <v/>
      </c>
      <c r="H26" s="38" t="str">
        <f t="shared" si="3"/>
        <v/>
      </c>
      <c r="I26" s="29" t="str">
        <f>IF(ISNA($N26),"",VLOOKUP($B26,Reg!$M$3:$P$200,4,0))</f>
        <v/>
      </c>
      <c r="J26" s="46" t="str">
        <f t="shared" si="4"/>
        <v/>
      </c>
      <c r="K26" s="49" t="str">
        <f t="shared" si="5"/>
        <v/>
      </c>
      <c r="L26" s="27"/>
      <c r="M26" s="24"/>
      <c r="N26" s="24" t="e">
        <f>VLOOKUP(23,Reg!$A$2:$M$202,13,0)</f>
        <v>#N/A</v>
      </c>
      <c r="O26" s="25" t="e">
        <f>VLOOKUP($B26,Reg!$M$3:$Q$202,5,0)</f>
        <v>#N/A</v>
      </c>
      <c r="P26" s="25" t="e">
        <f t="shared" si="6"/>
        <v>#VALUE!</v>
      </c>
      <c r="Q26" s="47">
        <f t="shared" si="7"/>
        <v>1000</v>
      </c>
      <c r="R26" s="54">
        <v>23</v>
      </c>
    </row>
    <row r="27" spans="1:18" ht="15" customHeight="1" x14ac:dyDescent="0.2">
      <c r="A27" s="26" t="str">
        <f t="shared" si="0"/>
        <v/>
      </c>
      <c r="B27" s="29" t="str">
        <f t="shared" si="1"/>
        <v/>
      </c>
      <c r="C27" s="43" t="str">
        <f>IF(ISNA($N27),"",VLOOKUP($B27,Reg!$M$3:$N$202,2,0))</f>
        <v/>
      </c>
      <c r="D27" s="31" t="str">
        <f>IF(ISNA($N27),"",VLOOKUP($B27,Reg!$M$3:$O$202,3,0))</f>
        <v/>
      </c>
      <c r="E27" s="35"/>
      <c r="F27" s="41"/>
      <c r="G27" s="36" t="str">
        <f t="shared" si="2"/>
        <v/>
      </c>
      <c r="H27" s="38" t="str">
        <f t="shared" si="3"/>
        <v/>
      </c>
      <c r="I27" s="29" t="str">
        <f>IF(ISNA($N27),"",VLOOKUP($B27,Reg!$M$3:$P$200,4,0))</f>
        <v/>
      </c>
      <c r="J27" s="46" t="str">
        <f t="shared" si="4"/>
        <v/>
      </c>
      <c r="K27" s="49" t="str">
        <f t="shared" si="5"/>
        <v/>
      </c>
      <c r="L27" s="27"/>
      <c r="M27" s="24"/>
      <c r="N27" s="24" t="e">
        <f>VLOOKUP(24,Reg!$A$2:$M$202,13,0)</f>
        <v>#N/A</v>
      </c>
      <c r="O27" s="25" t="e">
        <f>VLOOKUP($B27,Reg!$M$3:$Q$202,5,0)</f>
        <v>#N/A</v>
      </c>
      <c r="P27" s="25" t="e">
        <f t="shared" si="6"/>
        <v>#VALUE!</v>
      </c>
      <c r="Q27" s="47">
        <f t="shared" si="7"/>
        <v>1000</v>
      </c>
      <c r="R27" s="54">
        <v>24</v>
      </c>
    </row>
    <row r="28" spans="1:18" ht="15" customHeight="1" x14ac:dyDescent="0.2">
      <c r="A28" s="26" t="str">
        <f t="shared" si="0"/>
        <v/>
      </c>
      <c r="B28" s="29" t="str">
        <f t="shared" si="1"/>
        <v/>
      </c>
      <c r="C28" s="43" t="str">
        <f>IF(ISNA($N28),"",VLOOKUP($B28,Reg!$M$3:$N$202,2,0))</f>
        <v/>
      </c>
      <c r="D28" s="31" t="str">
        <f>IF(ISNA($N28),"",VLOOKUP($B28,Reg!$M$3:$O$202,3,0))</f>
        <v/>
      </c>
      <c r="E28" s="35"/>
      <c r="F28" s="41"/>
      <c r="G28" s="36" t="str">
        <f t="shared" si="2"/>
        <v/>
      </c>
      <c r="H28" s="38" t="str">
        <f t="shared" si="3"/>
        <v/>
      </c>
      <c r="I28" s="29" t="str">
        <f>IF(ISNA($N28),"",VLOOKUP($B28,Reg!$M$3:$P$200,4,0))</f>
        <v/>
      </c>
      <c r="J28" s="46" t="str">
        <f t="shared" si="4"/>
        <v/>
      </c>
      <c r="K28" s="49" t="str">
        <f t="shared" si="5"/>
        <v/>
      </c>
      <c r="L28" s="27"/>
      <c r="M28" s="24"/>
      <c r="N28" s="24" t="e">
        <f>VLOOKUP(25,Reg!$A$2:$M$202,13,0)</f>
        <v>#N/A</v>
      </c>
      <c r="O28" s="25" t="e">
        <f>VLOOKUP($B28,Reg!$M$3:$Q$202,5,0)</f>
        <v>#N/A</v>
      </c>
      <c r="P28" s="25" t="e">
        <f t="shared" si="6"/>
        <v>#VALUE!</v>
      </c>
      <c r="Q28" s="47">
        <f t="shared" si="7"/>
        <v>1000</v>
      </c>
      <c r="R28" s="54">
        <v>25</v>
      </c>
    </row>
    <row r="29" spans="1:18" ht="15" customHeight="1" x14ac:dyDescent="0.2">
      <c r="A29" s="26" t="str">
        <f t="shared" si="0"/>
        <v/>
      </c>
      <c r="B29" s="29" t="str">
        <f t="shared" si="1"/>
        <v/>
      </c>
      <c r="C29" s="43" t="str">
        <f>IF(ISNA($N29),"",VLOOKUP($B29,Reg!$M$3:$N$202,2,0))</f>
        <v/>
      </c>
      <c r="D29" s="31" t="str">
        <f>IF(ISNA($N29),"",VLOOKUP($B29,Reg!$M$3:$O$202,3,0))</f>
        <v/>
      </c>
      <c r="E29" s="35"/>
      <c r="F29" s="41"/>
      <c r="G29" s="36" t="str">
        <f t="shared" si="2"/>
        <v/>
      </c>
      <c r="H29" s="38" t="str">
        <f t="shared" si="3"/>
        <v/>
      </c>
      <c r="I29" s="29" t="str">
        <f>IF(ISNA($N29),"",VLOOKUP($B29,Reg!$M$3:$P$200,4,0))</f>
        <v/>
      </c>
      <c r="J29" s="46" t="str">
        <f t="shared" si="4"/>
        <v/>
      </c>
      <c r="K29" s="49" t="str">
        <f t="shared" si="5"/>
        <v/>
      </c>
      <c r="L29" s="27"/>
      <c r="M29" s="24"/>
      <c r="N29" s="24" t="e">
        <f>VLOOKUP(26,Reg!$A$2:$M$202,13,0)</f>
        <v>#N/A</v>
      </c>
      <c r="O29" s="25" t="e">
        <f>VLOOKUP($B29,Reg!$M$3:$Q$202,5,0)</f>
        <v>#N/A</v>
      </c>
      <c r="P29" s="25" t="e">
        <f t="shared" si="6"/>
        <v>#VALUE!</v>
      </c>
      <c r="Q29" s="47">
        <f t="shared" si="7"/>
        <v>1000</v>
      </c>
      <c r="R29" s="54">
        <v>26</v>
      </c>
    </row>
    <row r="30" spans="1:18" ht="15" customHeight="1" x14ac:dyDescent="0.2">
      <c r="A30" s="26" t="str">
        <f t="shared" si="0"/>
        <v/>
      </c>
      <c r="B30" s="29" t="str">
        <f t="shared" si="1"/>
        <v/>
      </c>
      <c r="C30" s="43" t="str">
        <f>IF(ISNA($N30),"",VLOOKUP($B30,Reg!$M$3:$N$202,2,0))</f>
        <v/>
      </c>
      <c r="D30" s="31" t="str">
        <f>IF(ISNA($N30),"",VLOOKUP($B30,Reg!$M$3:$O$202,3,0))</f>
        <v/>
      </c>
      <c r="E30" s="35"/>
      <c r="F30" s="41"/>
      <c r="G30" s="36" t="str">
        <f t="shared" si="2"/>
        <v/>
      </c>
      <c r="H30" s="38" t="str">
        <f t="shared" si="3"/>
        <v/>
      </c>
      <c r="I30" s="29" t="str">
        <f>IF(ISNA($N30),"",VLOOKUP($B30,Reg!$M$3:$P$200,4,0))</f>
        <v/>
      </c>
      <c r="J30" s="46" t="str">
        <f t="shared" si="4"/>
        <v/>
      </c>
      <c r="K30" s="49" t="str">
        <f t="shared" si="5"/>
        <v/>
      </c>
      <c r="L30" s="27"/>
      <c r="M30" s="24"/>
      <c r="N30" s="24" t="e">
        <f>VLOOKUP(27,Reg!$A$2:$M$202,13,0)</f>
        <v>#N/A</v>
      </c>
      <c r="O30" s="25" t="e">
        <f>VLOOKUP($B30,Reg!$M$3:$Q$202,5,0)</f>
        <v>#N/A</v>
      </c>
      <c r="P30" s="25" t="e">
        <f t="shared" si="6"/>
        <v>#VALUE!</v>
      </c>
      <c r="Q30" s="47">
        <f t="shared" si="7"/>
        <v>1000</v>
      </c>
      <c r="R30" s="54">
        <v>27</v>
      </c>
    </row>
    <row r="31" spans="1:18" ht="15" customHeight="1" x14ac:dyDescent="0.2">
      <c r="A31" s="26" t="str">
        <f t="shared" ref="A31:A48" si="8">IF($B31="","",ROW()-3)</f>
        <v/>
      </c>
      <c r="B31" s="29" t="str">
        <f t="shared" ref="B31:B48" si="9">IF(ISNA($N31),"",$N31)</f>
        <v/>
      </c>
      <c r="C31" s="43" t="str">
        <f>IF(ISNA($N31),"",VLOOKUP($B31,Reg!$M$3:$N$202,2,0))</f>
        <v/>
      </c>
      <c r="D31" s="31" t="str">
        <f>IF(ISNA($N31),"",VLOOKUP($B31,Reg!$M$3:$O$202,3,0))</f>
        <v/>
      </c>
      <c r="E31" s="35"/>
      <c r="F31" s="41"/>
      <c r="G31" s="36" t="str">
        <f t="shared" ref="G31:G48" si="10">IF(ISBLANK($E31),"",IF(ISBLANK($F31),0,$F31*2))</f>
        <v/>
      </c>
      <c r="H31" s="38" t="str">
        <f t="shared" ref="H31:H48" si="11">IF(ISBLANK($E31),"",TEXT($P31,"###")&amp;IF($P31=0,""," мин ")&amp;TEXT($E31+$G31-$P31*60,"###,###")&amp;" с")</f>
        <v/>
      </c>
      <c r="I31" s="29" t="str">
        <f>IF(ISNA($N31),"",VLOOKUP($B31,Reg!$M$3:$P$200,4,0))</f>
        <v/>
      </c>
      <c r="J31" s="46" t="str">
        <f t="shared" ref="J31:J48" si="12">IF(ISNA($O31),"",IF($O31=0,"",$O31))</f>
        <v/>
      </c>
      <c r="K31" s="49" t="str">
        <f t="shared" ref="K31:K48" si="13">IF($E31&gt;0,RANK($Q31,$Q$4:$Q$50,1),"")</f>
        <v/>
      </c>
      <c r="L31" s="27"/>
      <c r="M31" s="24"/>
      <c r="N31" s="24" t="e">
        <f>VLOOKUP(28,Reg!$A$2:$M$202,13,0)</f>
        <v>#N/A</v>
      </c>
      <c r="O31" s="25" t="e">
        <f>VLOOKUP($B31,Reg!$M$3:$Q$202,5,0)</f>
        <v>#N/A</v>
      </c>
      <c r="P31" s="25" t="e">
        <f t="shared" ref="P31:P48" si="14">INT((E31+G31)/60)</f>
        <v>#VALUE!</v>
      </c>
      <c r="Q31" s="47">
        <f t="shared" ref="Q31:Q48" si="15">IF($E31&gt;0,$E31+$G31,1000)</f>
        <v>1000</v>
      </c>
      <c r="R31" s="54">
        <v>28</v>
      </c>
    </row>
    <row r="32" spans="1:18" ht="15" customHeight="1" x14ac:dyDescent="0.2">
      <c r="A32" s="26" t="str">
        <f t="shared" si="8"/>
        <v/>
      </c>
      <c r="B32" s="29" t="str">
        <f t="shared" si="9"/>
        <v/>
      </c>
      <c r="C32" s="43" t="str">
        <f>IF(ISNA($N32),"",VLOOKUP($B32,Reg!$M$3:$N$202,2,0))</f>
        <v/>
      </c>
      <c r="D32" s="31" t="str">
        <f>IF(ISNA($N32),"",VLOOKUP($B32,Reg!$M$3:$O$202,3,0))</f>
        <v/>
      </c>
      <c r="E32" s="35"/>
      <c r="F32" s="41"/>
      <c r="G32" s="36" t="str">
        <f t="shared" si="10"/>
        <v/>
      </c>
      <c r="H32" s="38" t="str">
        <f t="shared" si="11"/>
        <v/>
      </c>
      <c r="I32" s="29" t="str">
        <f>IF(ISNA($N32),"",VLOOKUP($B32,Reg!$M$3:$P$200,4,0))</f>
        <v/>
      </c>
      <c r="J32" s="46" t="str">
        <f t="shared" si="12"/>
        <v/>
      </c>
      <c r="K32" s="49" t="str">
        <f t="shared" si="13"/>
        <v/>
      </c>
      <c r="L32" s="27"/>
      <c r="M32" s="24"/>
      <c r="N32" s="24" t="e">
        <f>VLOOKUP(29,Reg!$A$2:$M$202,13,0)</f>
        <v>#N/A</v>
      </c>
      <c r="O32" s="25" t="e">
        <f>VLOOKUP($B32,Reg!$M$3:$Q$202,5,0)</f>
        <v>#N/A</v>
      </c>
      <c r="P32" s="25" t="e">
        <f t="shared" si="14"/>
        <v>#VALUE!</v>
      </c>
      <c r="Q32" s="47">
        <f t="shared" si="15"/>
        <v>1000</v>
      </c>
      <c r="R32" s="54">
        <v>29</v>
      </c>
    </row>
    <row r="33" spans="1:18" ht="15" customHeight="1" x14ac:dyDescent="0.2">
      <c r="A33" s="26" t="str">
        <f t="shared" si="8"/>
        <v/>
      </c>
      <c r="B33" s="29" t="str">
        <f t="shared" si="9"/>
        <v/>
      </c>
      <c r="C33" s="43" t="str">
        <f>IF(ISNA($N33),"",VLOOKUP($B33,Reg!$M$3:$N$202,2,0))</f>
        <v/>
      </c>
      <c r="D33" s="31" t="str">
        <f>IF(ISNA($N33),"",VLOOKUP($B33,Reg!$M$3:$O$202,3,0))</f>
        <v/>
      </c>
      <c r="E33" s="35"/>
      <c r="F33" s="41"/>
      <c r="G33" s="36" t="str">
        <f t="shared" si="10"/>
        <v/>
      </c>
      <c r="H33" s="38" t="str">
        <f t="shared" si="11"/>
        <v/>
      </c>
      <c r="I33" s="29" t="str">
        <f>IF(ISNA($N33),"",VLOOKUP($B33,Reg!$M$3:$P$200,4,0))</f>
        <v/>
      </c>
      <c r="J33" s="46" t="str">
        <f t="shared" si="12"/>
        <v/>
      </c>
      <c r="K33" s="49" t="str">
        <f t="shared" si="13"/>
        <v/>
      </c>
      <c r="L33" s="27"/>
      <c r="M33" s="24"/>
      <c r="N33" s="24" t="e">
        <f>VLOOKUP(30,Reg!$A$2:$M$202,13,0)</f>
        <v>#N/A</v>
      </c>
      <c r="O33" s="25" t="e">
        <f>VLOOKUP($B33,Reg!$M$3:$Q$202,5,0)</f>
        <v>#N/A</v>
      </c>
      <c r="P33" s="25" t="e">
        <f t="shared" si="14"/>
        <v>#VALUE!</v>
      </c>
      <c r="Q33" s="47">
        <f t="shared" si="15"/>
        <v>1000</v>
      </c>
      <c r="R33" s="54">
        <v>30</v>
      </c>
    </row>
    <row r="34" spans="1:18" ht="15" customHeight="1" x14ac:dyDescent="0.2">
      <c r="A34" s="26" t="str">
        <f t="shared" si="8"/>
        <v/>
      </c>
      <c r="B34" s="29" t="str">
        <f t="shared" si="9"/>
        <v/>
      </c>
      <c r="C34" s="43" t="str">
        <f>IF(ISNA($N34),"",VLOOKUP($B34,Reg!$M$3:$N$202,2,0))</f>
        <v/>
      </c>
      <c r="D34" s="31" t="str">
        <f>IF(ISNA($N34),"",VLOOKUP($B34,Reg!$M$3:$O$202,3,0))</f>
        <v/>
      </c>
      <c r="E34" s="35"/>
      <c r="F34" s="41"/>
      <c r="G34" s="36" t="str">
        <f t="shared" si="10"/>
        <v/>
      </c>
      <c r="H34" s="38" t="str">
        <f t="shared" si="11"/>
        <v/>
      </c>
      <c r="I34" s="29" t="str">
        <f>IF(ISNA($N34),"",VLOOKUP($B34,Reg!$M$3:$P$200,4,0))</f>
        <v/>
      </c>
      <c r="J34" s="46" t="str">
        <f t="shared" si="12"/>
        <v/>
      </c>
      <c r="K34" s="49" t="str">
        <f t="shared" si="13"/>
        <v/>
      </c>
      <c r="L34" s="27"/>
      <c r="M34" s="24"/>
      <c r="N34" s="24" t="e">
        <f>VLOOKUP(31,Reg!$A$2:$M$202,13,0)</f>
        <v>#N/A</v>
      </c>
      <c r="O34" s="25" t="e">
        <f>VLOOKUP($B34,Reg!$M$3:$Q$202,5,0)</f>
        <v>#N/A</v>
      </c>
      <c r="P34" s="25" t="e">
        <f t="shared" si="14"/>
        <v>#VALUE!</v>
      </c>
      <c r="Q34" s="47">
        <f t="shared" si="15"/>
        <v>1000</v>
      </c>
      <c r="R34" s="54">
        <v>31</v>
      </c>
    </row>
    <row r="35" spans="1:18" ht="15" customHeight="1" x14ac:dyDescent="0.2">
      <c r="A35" s="26" t="str">
        <f t="shared" si="8"/>
        <v/>
      </c>
      <c r="B35" s="29" t="str">
        <f t="shared" si="9"/>
        <v/>
      </c>
      <c r="C35" s="43" t="str">
        <f>IF(ISNA($N35),"",VLOOKUP($B35,Reg!$M$3:$N$202,2,0))</f>
        <v/>
      </c>
      <c r="D35" s="31" t="str">
        <f>IF(ISNA($N35),"",VLOOKUP($B35,Reg!$M$3:$O$202,3,0))</f>
        <v/>
      </c>
      <c r="E35" s="35"/>
      <c r="F35" s="41"/>
      <c r="G35" s="36" t="str">
        <f t="shared" si="10"/>
        <v/>
      </c>
      <c r="H35" s="38" t="str">
        <f t="shared" si="11"/>
        <v/>
      </c>
      <c r="I35" s="29" t="str">
        <f>IF(ISNA($N35),"",VLOOKUP($B35,Reg!$M$3:$P$200,4,0))</f>
        <v/>
      </c>
      <c r="J35" s="46" t="str">
        <f t="shared" si="12"/>
        <v/>
      </c>
      <c r="K35" s="49" t="str">
        <f t="shared" si="13"/>
        <v/>
      </c>
      <c r="L35" s="27"/>
      <c r="M35" s="24"/>
      <c r="N35" s="24" t="e">
        <f>VLOOKUP(32,Reg!$A$2:$M$202,13,0)</f>
        <v>#N/A</v>
      </c>
      <c r="O35" s="25" t="e">
        <f>VLOOKUP($B35,Reg!$M$3:$Q$202,5,0)</f>
        <v>#N/A</v>
      </c>
      <c r="P35" s="25" t="e">
        <f t="shared" si="14"/>
        <v>#VALUE!</v>
      </c>
      <c r="Q35" s="47">
        <f t="shared" si="15"/>
        <v>1000</v>
      </c>
      <c r="R35" s="54">
        <v>32</v>
      </c>
    </row>
    <row r="36" spans="1:18" ht="15" customHeight="1" x14ac:dyDescent="0.2">
      <c r="A36" s="26" t="str">
        <f t="shared" si="8"/>
        <v/>
      </c>
      <c r="B36" s="29" t="str">
        <f t="shared" si="9"/>
        <v/>
      </c>
      <c r="C36" s="43" t="str">
        <f>IF(ISNA($N36),"",VLOOKUP($B36,Reg!$M$3:$N$202,2,0))</f>
        <v/>
      </c>
      <c r="D36" s="31" t="str">
        <f>IF(ISNA($N36),"",VLOOKUP($B36,Reg!$M$3:$O$202,3,0))</f>
        <v/>
      </c>
      <c r="E36" s="35"/>
      <c r="F36" s="41"/>
      <c r="G36" s="36" t="str">
        <f t="shared" si="10"/>
        <v/>
      </c>
      <c r="H36" s="38" t="str">
        <f t="shared" si="11"/>
        <v/>
      </c>
      <c r="I36" s="29" t="str">
        <f>IF(ISNA($N36),"",VLOOKUP($B36,Reg!$M$3:$P$200,4,0))</f>
        <v/>
      </c>
      <c r="J36" s="46" t="str">
        <f t="shared" si="12"/>
        <v/>
      </c>
      <c r="K36" s="49" t="str">
        <f t="shared" si="13"/>
        <v/>
      </c>
      <c r="L36" s="27"/>
      <c r="M36" s="24"/>
      <c r="N36" s="24" t="e">
        <f>VLOOKUP(33,Reg!$A$2:$M$202,13,0)</f>
        <v>#N/A</v>
      </c>
      <c r="O36" s="25" t="e">
        <f>VLOOKUP($B36,Reg!$M$3:$Q$202,5,0)</f>
        <v>#N/A</v>
      </c>
      <c r="P36" s="25" t="e">
        <f t="shared" si="14"/>
        <v>#VALUE!</v>
      </c>
      <c r="Q36" s="47">
        <f t="shared" si="15"/>
        <v>1000</v>
      </c>
      <c r="R36" s="54">
        <v>33</v>
      </c>
    </row>
    <row r="37" spans="1:18" ht="15" customHeight="1" x14ac:dyDescent="0.2">
      <c r="A37" s="26" t="str">
        <f t="shared" si="8"/>
        <v/>
      </c>
      <c r="B37" s="29" t="str">
        <f t="shared" si="9"/>
        <v/>
      </c>
      <c r="C37" s="43" t="str">
        <f>IF(ISNA($N37),"",VLOOKUP($B37,Reg!$M$3:$N$202,2,0))</f>
        <v/>
      </c>
      <c r="D37" s="31" t="str">
        <f>IF(ISNA($N37),"",VLOOKUP($B37,Reg!$M$3:$O$202,3,0))</f>
        <v/>
      </c>
      <c r="E37" s="35"/>
      <c r="F37" s="41"/>
      <c r="G37" s="36" t="str">
        <f t="shared" si="10"/>
        <v/>
      </c>
      <c r="H37" s="38" t="str">
        <f t="shared" si="11"/>
        <v/>
      </c>
      <c r="I37" s="29" t="str">
        <f>IF(ISNA($N37),"",VLOOKUP($B37,Reg!$M$3:$P$200,4,0))</f>
        <v/>
      </c>
      <c r="J37" s="46" t="str">
        <f t="shared" si="12"/>
        <v/>
      </c>
      <c r="K37" s="49" t="str">
        <f t="shared" si="13"/>
        <v/>
      </c>
      <c r="L37" s="27"/>
      <c r="M37" s="24"/>
      <c r="N37" s="24" t="e">
        <f>VLOOKUP(34,Reg!$A$2:$M$202,13,0)</f>
        <v>#N/A</v>
      </c>
      <c r="O37" s="25" t="e">
        <f>VLOOKUP($B37,Reg!$M$3:$Q$202,5,0)</f>
        <v>#N/A</v>
      </c>
      <c r="P37" s="25" t="e">
        <f t="shared" si="14"/>
        <v>#VALUE!</v>
      </c>
      <c r="Q37" s="47">
        <f t="shared" si="15"/>
        <v>1000</v>
      </c>
      <c r="R37" s="54">
        <v>34</v>
      </c>
    </row>
    <row r="38" spans="1:18" ht="15" customHeight="1" x14ac:dyDescent="0.2">
      <c r="A38" s="26" t="str">
        <f t="shared" si="8"/>
        <v/>
      </c>
      <c r="B38" s="29" t="str">
        <f t="shared" si="9"/>
        <v/>
      </c>
      <c r="C38" s="43" t="str">
        <f>IF(ISNA($N38),"",VLOOKUP($B38,Reg!$M$3:$N$202,2,0))</f>
        <v/>
      </c>
      <c r="D38" s="31" t="str">
        <f>IF(ISNA($N38),"",VLOOKUP($B38,Reg!$M$3:$O$202,3,0))</f>
        <v/>
      </c>
      <c r="E38" s="35"/>
      <c r="F38" s="41"/>
      <c r="G38" s="36" t="str">
        <f t="shared" si="10"/>
        <v/>
      </c>
      <c r="H38" s="38" t="str">
        <f t="shared" si="11"/>
        <v/>
      </c>
      <c r="I38" s="29" t="str">
        <f>IF(ISNA($N38),"",VLOOKUP($B38,Reg!$M$3:$P$200,4,0))</f>
        <v/>
      </c>
      <c r="J38" s="46" t="str">
        <f t="shared" si="12"/>
        <v/>
      </c>
      <c r="K38" s="49" t="str">
        <f t="shared" si="13"/>
        <v/>
      </c>
      <c r="L38" s="27"/>
      <c r="M38" s="24"/>
      <c r="N38" s="24" t="e">
        <f>VLOOKUP(35,Reg!$A$2:$M$202,13,0)</f>
        <v>#N/A</v>
      </c>
      <c r="O38" s="25" t="e">
        <f>VLOOKUP($B38,Reg!$M$3:$Q$202,5,0)</f>
        <v>#N/A</v>
      </c>
      <c r="P38" s="25" t="e">
        <f t="shared" si="14"/>
        <v>#VALUE!</v>
      </c>
      <c r="Q38" s="47">
        <f t="shared" si="15"/>
        <v>1000</v>
      </c>
      <c r="R38" s="54">
        <v>35</v>
      </c>
    </row>
    <row r="39" spans="1:18" ht="15" customHeight="1" x14ac:dyDescent="0.2">
      <c r="A39" s="26" t="str">
        <f t="shared" si="8"/>
        <v/>
      </c>
      <c r="B39" s="29" t="str">
        <f t="shared" si="9"/>
        <v/>
      </c>
      <c r="C39" s="43" t="str">
        <f>IF(ISNA($N39),"",VLOOKUP($B39,Reg!$M$3:$N$202,2,0))</f>
        <v/>
      </c>
      <c r="D39" s="31" t="str">
        <f>IF(ISNA($N39),"",VLOOKUP($B39,Reg!$M$3:$O$202,3,0))</f>
        <v/>
      </c>
      <c r="E39" s="35"/>
      <c r="F39" s="41"/>
      <c r="G39" s="36" t="str">
        <f t="shared" si="10"/>
        <v/>
      </c>
      <c r="H39" s="38" t="str">
        <f t="shared" si="11"/>
        <v/>
      </c>
      <c r="I39" s="29" t="str">
        <f>IF(ISNA($N39),"",VLOOKUP($B39,Reg!$M$3:$P$200,4,0))</f>
        <v/>
      </c>
      <c r="J39" s="46" t="str">
        <f t="shared" si="12"/>
        <v/>
      </c>
      <c r="K39" s="49" t="str">
        <f t="shared" si="13"/>
        <v/>
      </c>
      <c r="L39" s="27"/>
      <c r="M39" s="24"/>
      <c r="N39" s="24" t="e">
        <f>VLOOKUP(36,Reg!$A$2:$M$202,13,0)</f>
        <v>#N/A</v>
      </c>
      <c r="O39" s="25" t="e">
        <f>VLOOKUP($B39,Reg!$M$3:$Q$202,5,0)</f>
        <v>#N/A</v>
      </c>
      <c r="P39" s="25" t="e">
        <f t="shared" si="14"/>
        <v>#VALUE!</v>
      </c>
      <c r="Q39" s="47">
        <f t="shared" si="15"/>
        <v>1000</v>
      </c>
      <c r="R39" s="54">
        <v>36</v>
      </c>
    </row>
    <row r="40" spans="1:18" ht="15" customHeight="1" x14ac:dyDescent="0.2">
      <c r="A40" s="26" t="str">
        <f t="shared" si="8"/>
        <v/>
      </c>
      <c r="B40" s="29" t="str">
        <f t="shared" si="9"/>
        <v/>
      </c>
      <c r="C40" s="43" t="str">
        <f>IF(ISNA($N40),"",VLOOKUP($B40,Reg!$M$3:$N$202,2,0))</f>
        <v/>
      </c>
      <c r="D40" s="31" t="str">
        <f>IF(ISNA($N40),"",VLOOKUP($B40,Reg!$M$3:$O$202,3,0))</f>
        <v/>
      </c>
      <c r="E40" s="35"/>
      <c r="F40" s="41"/>
      <c r="G40" s="36" t="str">
        <f t="shared" si="10"/>
        <v/>
      </c>
      <c r="H40" s="38" t="str">
        <f t="shared" si="11"/>
        <v/>
      </c>
      <c r="I40" s="29" t="str">
        <f>IF(ISNA($N40),"",VLOOKUP($B40,Reg!$M$3:$P$200,4,0))</f>
        <v/>
      </c>
      <c r="J40" s="46" t="str">
        <f t="shared" si="12"/>
        <v/>
      </c>
      <c r="K40" s="49" t="str">
        <f t="shared" si="13"/>
        <v/>
      </c>
      <c r="L40" s="27"/>
      <c r="M40" s="24"/>
      <c r="N40" s="24" t="e">
        <f>VLOOKUP(37,Reg!$A$2:$M$202,13,0)</f>
        <v>#N/A</v>
      </c>
      <c r="O40" s="25" t="e">
        <f>VLOOKUP($B40,Reg!$M$3:$Q$202,5,0)</f>
        <v>#N/A</v>
      </c>
      <c r="P40" s="25" t="e">
        <f t="shared" si="14"/>
        <v>#VALUE!</v>
      </c>
      <c r="Q40" s="47">
        <f t="shared" si="15"/>
        <v>1000</v>
      </c>
      <c r="R40" s="54">
        <v>37</v>
      </c>
    </row>
    <row r="41" spans="1:18" ht="15" customHeight="1" x14ac:dyDescent="0.2">
      <c r="A41" s="26" t="str">
        <f t="shared" si="8"/>
        <v/>
      </c>
      <c r="B41" s="29" t="str">
        <f t="shared" si="9"/>
        <v/>
      </c>
      <c r="C41" s="43" t="str">
        <f>IF(ISNA($N41),"",VLOOKUP($B41,Reg!$M$3:$N$202,2,0))</f>
        <v/>
      </c>
      <c r="D41" s="31" t="str">
        <f>IF(ISNA($N41),"",VLOOKUP($B41,Reg!$M$3:$O$202,3,0))</f>
        <v/>
      </c>
      <c r="E41" s="35"/>
      <c r="F41" s="41"/>
      <c r="G41" s="36" t="str">
        <f t="shared" si="10"/>
        <v/>
      </c>
      <c r="H41" s="38" t="str">
        <f t="shared" si="11"/>
        <v/>
      </c>
      <c r="I41" s="29" t="str">
        <f>IF(ISNA($N41),"",VLOOKUP($B41,Reg!$M$3:$P$200,4,0))</f>
        <v/>
      </c>
      <c r="J41" s="46" t="str">
        <f t="shared" si="12"/>
        <v/>
      </c>
      <c r="K41" s="49" t="str">
        <f t="shared" si="13"/>
        <v/>
      </c>
      <c r="L41" s="27"/>
      <c r="M41" s="24"/>
      <c r="N41" s="24" t="e">
        <f>VLOOKUP(38,Reg!$A$2:$M$202,13,0)</f>
        <v>#N/A</v>
      </c>
      <c r="O41" s="25" t="e">
        <f>VLOOKUP($B41,Reg!$M$3:$Q$202,5,0)</f>
        <v>#N/A</v>
      </c>
      <c r="P41" s="25" t="e">
        <f t="shared" si="14"/>
        <v>#VALUE!</v>
      </c>
      <c r="Q41" s="47">
        <f t="shared" si="15"/>
        <v>1000</v>
      </c>
      <c r="R41" s="54">
        <v>38</v>
      </c>
    </row>
    <row r="42" spans="1:18" ht="15" customHeight="1" x14ac:dyDescent="0.2">
      <c r="A42" s="26" t="str">
        <f t="shared" si="8"/>
        <v/>
      </c>
      <c r="B42" s="29" t="str">
        <f t="shared" si="9"/>
        <v/>
      </c>
      <c r="C42" s="43" t="str">
        <f>IF(ISNA($N42),"",VLOOKUP($B42,Reg!$M$3:$N$202,2,0))</f>
        <v/>
      </c>
      <c r="D42" s="31" t="str">
        <f>IF(ISNA($N42),"",VLOOKUP($B42,Reg!$M$3:$O$202,3,0))</f>
        <v/>
      </c>
      <c r="E42" s="35"/>
      <c r="F42" s="41"/>
      <c r="G42" s="36" t="str">
        <f t="shared" si="10"/>
        <v/>
      </c>
      <c r="H42" s="38" t="str">
        <f t="shared" si="11"/>
        <v/>
      </c>
      <c r="I42" s="29" t="str">
        <f>IF(ISNA($N42),"",VLOOKUP($B42,Reg!$M$3:$P$200,4,0))</f>
        <v/>
      </c>
      <c r="J42" s="46" t="str">
        <f t="shared" si="12"/>
        <v/>
      </c>
      <c r="K42" s="49" t="str">
        <f t="shared" si="13"/>
        <v/>
      </c>
      <c r="L42" s="27"/>
      <c r="M42" s="24"/>
      <c r="N42" s="24" t="e">
        <f>VLOOKUP(39,Reg!$A$2:$M$202,13,0)</f>
        <v>#N/A</v>
      </c>
      <c r="O42" s="25" t="e">
        <f>VLOOKUP($B42,Reg!$M$3:$Q$202,5,0)</f>
        <v>#N/A</v>
      </c>
      <c r="P42" s="25" t="e">
        <f t="shared" si="14"/>
        <v>#VALUE!</v>
      </c>
      <c r="Q42" s="47">
        <f t="shared" si="15"/>
        <v>1000</v>
      </c>
      <c r="R42" s="54">
        <v>39</v>
      </c>
    </row>
    <row r="43" spans="1:18" ht="15" customHeight="1" x14ac:dyDescent="0.2">
      <c r="A43" s="26" t="str">
        <f t="shared" si="8"/>
        <v/>
      </c>
      <c r="B43" s="29" t="str">
        <f t="shared" si="9"/>
        <v/>
      </c>
      <c r="C43" s="43" t="str">
        <f>IF(ISNA($N43),"",VLOOKUP($B43,Reg!$M$3:$N$202,2,0))</f>
        <v/>
      </c>
      <c r="D43" s="31" t="str">
        <f>IF(ISNA($N43),"",VLOOKUP($B43,Reg!$M$3:$O$202,3,0))</f>
        <v/>
      </c>
      <c r="E43" s="35"/>
      <c r="F43" s="41"/>
      <c r="G43" s="36" t="str">
        <f t="shared" si="10"/>
        <v/>
      </c>
      <c r="H43" s="38" t="str">
        <f t="shared" si="11"/>
        <v/>
      </c>
      <c r="I43" s="29" t="str">
        <f>IF(ISNA($N43),"",VLOOKUP($B43,Reg!$M$3:$P$200,4,0))</f>
        <v/>
      </c>
      <c r="J43" s="46" t="str">
        <f t="shared" si="12"/>
        <v/>
      </c>
      <c r="K43" s="49" t="str">
        <f t="shared" si="13"/>
        <v/>
      </c>
      <c r="L43" s="27"/>
      <c r="M43" s="24"/>
      <c r="N43" s="24" t="e">
        <f>VLOOKUP(40,Reg!$A$2:$M$202,13,0)</f>
        <v>#N/A</v>
      </c>
      <c r="O43" s="25" t="e">
        <f>VLOOKUP($B43,Reg!$M$3:$Q$202,5,0)</f>
        <v>#N/A</v>
      </c>
      <c r="P43" s="25" t="e">
        <f t="shared" si="14"/>
        <v>#VALUE!</v>
      </c>
      <c r="Q43" s="47">
        <f t="shared" si="15"/>
        <v>1000</v>
      </c>
      <c r="R43" s="54">
        <v>40</v>
      </c>
    </row>
    <row r="44" spans="1:18" ht="15" customHeight="1" x14ac:dyDescent="0.2">
      <c r="A44" s="26" t="str">
        <f t="shared" si="8"/>
        <v/>
      </c>
      <c r="B44" s="29" t="str">
        <f t="shared" si="9"/>
        <v/>
      </c>
      <c r="C44" s="43" t="str">
        <f>IF(ISNA($N44),"",VLOOKUP($B44,Reg!$M$3:$N$202,2,0))</f>
        <v/>
      </c>
      <c r="D44" s="31" t="str">
        <f>IF(ISNA($N44),"",VLOOKUP($B44,Reg!$M$3:$O$202,3,0))</f>
        <v/>
      </c>
      <c r="E44" s="35"/>
      <c r="F44" s="41"/>
      <c r="G44" s="36" t="str">
        <f t="shared" si="10"/>
        <v/>
      </c>
      <c r="H44" s="38" t="str">
        <f t="shared" si="11"/>
        <v/>
      </c>
      <c r="I44" s="29" t="str">
        <f>IF(ISNA($N44),"",VLOOKUP($B44,Reg!$M$3:$P$200,4,0))</f>
        <v/>
      </c>
      <c r="J44" s="46" t="str">
        <f t="shared" si="12"/>
        <v/>
      </c>
      <c r="K44" s="49" t="str">
        <f t="shared" si="13"/>
        <v/>
      </c>
      <c r="L44" s="27"/>
      <c r="M44" s="24"/>
      <c r="N44" s="24" t="e">
        <f>VLOOKUP(41,Reg!$A$2:$M$202,13,0)</f>
        <v>#N/A</v>
      </c>
      <c r="O44" s="25" t="e">
        <f>VLOOKUP($B44,Reg!$M$3:$Q$202,5,0)</f>
        <v>#N/A</v>
      </c>
      <c r="P44" s="25" t="e">
        <f t="shared" si="14"/>
        <v>#VALUE!</v>
      </c>
      <c r="Q44" s="47">
        <f t="shared" si="15"/>
        <v>1000</v>
      </c>
      <c r="R44" s="54">
        <v>41</v>
      </c>
    </row>
    <row r="45" spans="1:18" ht="15" customHeight="1" x14ac:dyDescent="0.2">
      <c r="A45" s="26" t="str">
        <f t="shared" si="8"/>
        <v/>
      </c>
      <c r="B45" s="29" t="str">
        <f t="shared" si="9"/>
        <v/>
      </c>
      <c r="C45" s="43" t="str">
        <f>IF(ISNA($N45),"",VLOOKUP($B45,Reg!$M$3:$N$202,2,0))</f>
        <v/>
      </c>
      <c r="D45" s="31" t="str">
        <f>IF(ISNA($N45),"",VLOOKUP($B45,Reg!$M$3:$O$202,3,0))</f>
        <v/>
      </c>
      <c r="E45" s="35"/>
      <c r="F45" s="41"/>
      <c r="G45" s="36" t="str">
        <f t="shared" si="10"/>
        <v/>
      </c>
      <c r="H45" s="38" t="str">
        <f t="shared" si="11"/>
        <v/>
      </c>
      <c r="I45" s="29" t="str">
        <f>IF(ISNA($N45),"",VLOOKUP($B45,Reg!$M$3:$P$200,4,0))</f>
        <v/>
      </c>
      <c r="J45" s="46" t="str">
        <f t="shared" si="12"/>
        <v/>
      </c>
      <c r="K45" s="49" t="str">
        <f t="shared" si="13"/>
        <v/>
      </c>
      <c r="L45" s="27"/>
      <c r="M45" s="24"/>
      <c r="N45" s="24" t="e">
        <f>VLOOKUP(42,Reg!$A$2:$M$202,13,0)</f>
        <v>#N/A</v>
      </c>
      <c r="O45" s="25" t="e">
        <f>VLOOKUP($B45,Reg!$M$3:$Q$202,5,0)</f>
        <v>#N/A</v>
      </c>
      <c r="P45" s="25" t="e">
        <f t="shared" si="14"/>
        <v>#VALUE!</v>
      </c>
      <c r="Q45" s="47">
        <f t="shared" si="15"/>
        <v>1000</v>
      </c>
      <c r="R45" s="54">
        <v>42</v>
      </c>
    </row>
    <row r="46" spans="1:18" ht="15" customHeight="1" x14ac:dyDescent="0.2">
      <c r="A46" s="26" t="str">
        <f t="shared" si="8"/>
        <v/>
      </c>
      <c r="B46" s="29" t="str">
        <f t="shared" si="9"/>
        <v/>
      </c>
      <c r="C46" s="43" t="str">
        <f>IF(ISNA($N46),"",VLOOKUP($B46,Reg!$M$3:$N$202,2,0))</f>
        <v/>
      </c>
      <c r="D46" s="31" t="str">
        <f>IF(ISNA($N46),"",VLOOKUP($B46,Reg!$M$3:$O$202,3,0))</f>
        <v/>
      </c>
      <c r="E46" s="35"/>
      <c r="F46" s="41"/>
      <c r="G46" s="36" t="str">
        <f t="shared" si="10"/>
        <v/>
      </c>
      <c r="H46" s="38" t="str">
        <f t="shared" si="11"/>
        <v/>
      </c>
      <c r="I46" s="29" t="str">
        <f>IF(ISNA($N46),"",VLOOKUP($B46,Reg!$M$3:$P$200,4,0))</f>
        <v/>
      </c>
      <c r="J46" s="46" t="str">
        <f t="shared" si="12"/>
        <v/>
      </c>
      <c r="K46" s="49" t="str">
        <f t="shared" si="13"/>
        <v/>
      </c>
      <c r="L46" s="27"/>
      <c r="M46" s="24"/>
      <c r="N46" s="24" t="e">
        <f>VLOOKUP(43,Reg!$A$2:$M$202,13,0)</f>
        <v>#N/A</v>
      </c>
      <c r="O46" s="25" t="e">
        <f>VLOOKUP($B46,Reg!$M$3:$Q$202,5,0)</f>
        <v>#N/A</v>
      </c>
      <c r="P46" s="25" t="e">
        <f t="shared" si="14"/>
        <v>#VALUE!</v>
      </c>
      <c r="Q46" s="47">
        <f t="shared" si="15"/>
        <v>1000</v>
      </c>
      <c r="R46" s="54">
        <v>43</v>
      </c>
    </row>
    <row r="47" spans="1:18" ht="15" customHeight="1" x14ac:dyDescent="0.2">
      <c r="A47" s="26" t="str">
        <f t="shared" si="8"/>
        <v/>
      </c>
      <c r="B47" s="29" t="str">
        <f t="shared" si="9"/>
        <v/>
      </c>
      <c r="C47" s="43" t="str">
        <f>IF(ISNA($N47),"",VLOOKUP($B47,Reg!$M$3:$N$202,2,0))</f>
        <v/>
      </c>
      <c r="D47" s="31" t="str">
        <f>IF(ISNA($N47),"",VLOOKUP($B47,Reg!$M$3:$O$202,3,0))</f>
        <v/>
      </c>
      <c r="E47" s="35"/>
      <c r="F47" s="41"/>
      <c r="G47" s="36" t="str">
        <f t="shared" si="10"/>
        <v/>
      </c>
      <c r="H47" s="38" t="str">
        <f t="shared" si="11"/>
        <v/>
      </c>
      <c r="I47" s="29" t="str">
        <f>IF(ISNA($N47),"",VLOOKUP($B47,Reg!$M$3:$P$200,4,0))</f>
        <v/>
      </c>
      <c r="J47" s="46" t="str">
        <f t="shared" si="12"/>
        <v/>
      </c>
      <c r="K47" s="49" t="str">
        <f t="shared" si="13"/>
        <v/>
      </c>
      <c r="M47" s="24"/>
      <c r="N47" s="24" t="e">
        <f>VLOOKUP(44,Reg!$A$2:$M$202,13,0)</f>
        <v>#N/A</v>
      </c>
      <c r="O47" s="25" t="e">
        <f>VLOOKUP($B47,Reg!$M$3:$Q$202,5,0)</f>
        <v>#N/A</v>
      </c>
      <c r="P47" s="25" t="e">
        <f t="shared" si="14"/>
        <v>#VALUE!</v>
      </c>
      <c r="Q47" s="47">
        <f t="shared" si="15"/>
        <v>1000</v>
      </c>
      <c r="R47" s="54">
        <v>44</v>
      </c>
    </row>
    <row r="48" spans="1:18" ht="15" customHeight="1" x14ac:dyDescent="0.2">
      <c r="A48" s="26" t="str">
        <f t="shared" si="8"/>
        <v/>
      </c>
      <c r="B48" s="29" t="str">
        <f t="shared" si="9"/>
        <v/>
      </c>
      <c r="C48" s="43" t="str">
        <f>IF(ISNA($N48),"",VLOOKUP($B48,Reg!$M$3:$N$202,2,0))</f>
        <v/>
      </c>
      <c r="D48" s="31" t="str">
        <f>IF(ISNA($N48),"",VLOOKUP($B48,Reg!$M$3:$O$202,3,0))</f>
        <v/>
      </c>
      <c r="E48" s="35"/>
      <c r="F48" s="41"/>
      <c r="G48" s="36" t="str">
        <f t="shared" si="10"/>
        <v/>
      </c>
      <c r="H48" s="38" t="str">
        <f t="shared" si="11"/>
        <v/>
      </c>
      <c r="I48" s="29" t="str">
        <f>IF(ISNA($N48),"",VLOOKUP($B48,Reg!$M$3:$P$200,4,0))</f>
        <v/>
      </c>
      <c r="J48" s="46" t="str">
        <f t="shared" si="12"/>
        <v/>
      </c>
      <c r="K48" s="49" t="str">
        <f t="shared" si="13"/>
        <v/>
      </c>
      <c r="M48" s="24"/>
      <c r="N48" s="24" t="e">
        <f>VLOOKUP(45,Reg!$A$2:$M$202,13,0)</f>
        <v>#N/A</v>
      </c>
      <c r="O48" s="25" t="e">
        <f>VLOOKUP($B48,Reg!$M$3:$Q$202,5,0)</f>
        <v>#N/A</v>
      </c>
      <c r="P48" s="25" t="e">
        <f t="shared" si="14"/>
        <v>#VALUE!</v>
      </c>
      <c r="Q48" s="47">
        <f t="shared" si="15"/>
        <v>1000</v>
      </c>
      <c r="R48" s="54">
        <v>45</v>
      </c>
    </row>
    <row r="49" spans="1:18" ht="15" customHeight="1" x14ac:dyDescent="0.2">
      <c r="A49" s="26" t="str">
        <f t="shared" ref="A49:A53" si="16">IF($B49="","",ROW()-3)</f>
        <v/>
      </c>
      <c r="B49" s="29" t="str">
        <f t="shared" ref="B49:B53" si="17">IF(ISNA($N49),"",$N49)</f>
        <v/>
      </c>
      <c r="C49" s="43" t="str">
        <f>IF(ISNA($N49),"",VLOOKUP($B49,Reg!$M$3:$N$202,2,0))</f>
        <v/>
      </c>
      <c r="D49" s="31" t="str">
        <f>IF(ISNA($N49),"",VLOOKUP($B49,Reg!$M$3:$O$202,3,0))</f>
        <v/>
      </c>
      <c r="E49" s="35"/>
      <c r="F49" s="41"/>
      <c r="G49" s="36" t="str">
        <f t="shared" ref="G49:G53" si="18">IF(ISBLANK($E49),"",IF(ISBLANK($F49),0,$F49*2))</f>
        <v/>
      </c>
      <c r="H49" s="38" t="str">
        <f t="shared" ref="H49:H53" si="19">IF(ISBLANK($E49),"",TEXT($P49,"###")&amp;IF($P49=0,""," мин ")&amp;TEXT($E49+$G49-$P49*60,"###,###")&amp;" с")</f>
        <v/>
      </c>
      <c r="I49" s="29" t="str">
        <f>IF(ISNA($N49),"",VLOOKUP($B49,Reg!$M$3:$P$200,4,0))</f>
        <v/>
      </c>
      <c r="J49" s="46" t="str">
        <f t="shared" ref="J49:J53" si="20">IF(ISNA($O49),"",IF($O49=0,"",$O49))</f>
        <v/>
      </c>
      <c r="K49" s="49" t="str">
        <f t="shared" ref="K49:K53" si="21">IF($E49&gt;0,RANK($Q49,$Q$4:$Q$50,1),"")</f>
        <v/>
      </c>
      <c r="M49" s="24"/>
      <c r="N49" s="24" t="e">
        <f>VLOOKUP(46,Reg!$A$2:$M$202,13,0)</f>
        <v>#N/A</v>
      </c>
      <c r="O49" s="25" t="e">
        <f>VLOOKUP($B49,Reg!$M$3:$Q$202,5,0)</f>
        <v>#N/A</v>
      </c>
      <c r="P49" s="25" t="e">
        <f t="shared" ref="P49:P50" si="22">INT((E49+G49)/60)</f>
        <v>#VALUE!</v>
      </c>
      <c r="Q49" s="47">
        <f t="shared" ref="Q49:Q53" si="23">IF($E49&gt;0,$E49+$G49,1000)</f>
        <v>1000</v>
      </c>
      <c r="R49" s="54">
        <v>46</v>
      </c>
    </row>
    <row r="50" spans="1:18" ht="15" customHeight="1" x14ac:dyDescent="0.2">
      <c r="A50" s="26" t="str">
        <f t="shared" si="16"/>
        <v/>
      </c>
      <c r="B50" s="29" t="str">
        <f t="shared" si="17"/>
        <v/>
      </c>
      <c r="C50" s="43" t="str">
        <f>IF(ISNA($N50),"",VLOOKUP($B50,Reg!$M$3:$N$202,2,0))</f>
        <v/>
      </c>
      <c r="D50" s="31" t="str">
        <f>IF(ISNA($N50),"",VLOOKUP($B50,Reg!$M$3:$O$202,3,0))</f>
        <v/>
      </c>
      <c r="E50" s="35"/>
      <c r="F50" s="41"/>
      <c r="G50" s="36" t="str">
        <f t="shared" si="18"/>
        <v/>
      </c>
      <c r="H50" s="38" t="str">
        <f t="shared" si="19"/>
        <v/>
      </c>
      <c r="I50" s="29" t="str">
        <f>IF(ISNA($N50),"",VLOOKUP($B50,Reg!$M$3:$P$200,4,0))</f>
        <v/>
      </c>
      <c r="J50" s="46" t="str">
        <f t="shared" si="20"/>
        <v/>
      </c>
      <c r="K50" s="49" t="str">
        <f t="shared" si="21"/>
        <v/>
      </c>
      <c r="M50" s="24"/>
      <c r="N50" s="24" t="e">
        <f>VLOOKUP(47,Reg!$A$2:$M$202,13,0)</f>
        <v>#N/A</v>
      </c>
      <c r="O50" s="25" t="e">
        <f>VLOOKUP($B50,Reg!$M$3:$Q$202,5,0)</f>
        <v>#N/A</v>
      </c>
      <c r="P50" s="25" t="e">
        <f t="shared" si="22"/>
        <v>#VALUE!</v>
      </c>
      <c r="Q50" s="47">
        <f t="shared" si="23"/>
        <v>1000</v>
      </c>
      <c r="R50" s="54">
        <v>47</v>
      </c>
    </row>
    <row r="51" spans="1:18" ht="15" customHeight="1" x14ac:dyDescent="0.2">
      <c r="A51" s="26" t="str">
        <f t="shared" si="16"/>
        <v/>
      </c>
      <c r="B51" s="29" t="str">
        <f t="shared" si="17"/>
        <v/>
      </c>
      <c r="C51" s="43" t="str">
        <f>IF(ISNA($N51),"",VLOOKUP($B51,Reg!$M$3:$N$202,2,0))</f>
        <v/>
      </c>
      <c r="D51" s="31" t="str">
        <f>IF(ISNA($N51),"",VLOOKUP($B51,Reg!$M$3:$O$202,3,0))</f>
        <v/>
      </c>
      <c r="E51" s="35"/>
      <c r="F51" s="41"/>
      <c r="G51" s="36" t="str">
        <f t="shared" si="18"/>
        <v/>
      </c>
      <c r="H51" s="38" t="str">
        <f t="shared" si="19"/>
        <v/>
      </c>
      <c r="I51" s="29" t="str">
        <f>IF(ISNA($N51),"",VLOOKUP($B51,Reg!$M$3:$P$200,4,0))</f>
        <v/>
      </c>
      <c r="J51" s="46" t="str">
        <f t="shared" si="20"/>
        <v/>
      </c>
      <c r="K51" s="49" t="str">
        <f t="shared" si="21"/>
        <v/>
      </c>
      <c r="N51" s="24" t="e">
        <f>VLOOKUP(47,Reg!$A$2:$M$202,13,0)</f>
        <v>#N/A</v>
      </c>
      <c r="O51" s="25" t="e">
        <f>VLOOKUP($B51,Reg!$M$3:$Q$202,5,0)</f>
        <v>#N/A</v>
      </c>
      <c r="P51" s="25" t="e">
        <f t="shared" ref="P51:P53" si="24">INT((E51+G51)/60)</f>
        <v>#VALUE!</v>
      </c>
      <c r="Q51" s="47">
        <f t="shared" si="23"/>
        <v>1000</v>
      </c>
      <c r="R51" s="54">
        <v>48</v>
      </c>
    </row>
    <row r="52" spans="1:18" ht="15" customHeight="1" x14ac:dyDescent="0.2">
      <c r="A52" s="26" t="str">
        <f t="shared" si="16"/>
        <v/>
      </c>
      <c r="B52" s="29" t="str">
        <f t="shared" si="17"/>
        <v/>
      </c>
      <c r="C52" s="43" t="str">
        <f>IF(ISNA($N52),"",VLOOKUP($B52,Reg!$M$3:$N$202,2,0))</f>
        <v/>
      </c>
      <c r="D52" s="31" t="str">
        <f>IF(ISNA($N52),"",VLOOKUP($B52,Reg!$M$3:$O$202,3,0))</f>
        <v/>
      </c>
      <c r="E52" s="35"/>
      <c r="F52" s="41"/>
      <c r="G52" s="36" t="str">
        <f t="shared" si="18"/>
        <v/>
      </c>
      <c r="H52" s="38" t="str">
        <f t="shared" si="19"/>
        <v/>
      </c>
      <c r="I52" s="29" t="str">
        <f>IF(ISNA($N52),"",VLOOKUP($B52,Reg!$M$3:$P$200,4,0))</f>
        <v/>
      </c>
      <c r="J52" s="46" t="str">
        <f t="shared" si="20"/>
        <v/>
      </c>
      <c r="K52" s="49" t="str">
        <f t="shared" si="21"/>
        <v/>
      </c>
      <c r="N52" s="24" t="e">
        <f>VLOOKUP(47,Reg!$A$2:$M$202,13,0)</f>
        <v>#N/A</v>
      </c>
      <c r="O52" s="25" t="e">
        <f>VLOOKUP($B52,Reg!$M$3:$Q$202,5,0)</f>
        <v>#N/A</v>
      </c>
      <c r="P52" s="25" t="e">
        <f t="shared" si="24"/>
        <v>#VALUE!</v>
      </c>
      <c r="Q52" s="47">
        <f t="shared" si="23"/>
        <v>1000</v>
      </c>
      <c r="R52" s="54">
        <v>49</v>
      </c>
    </row>
    <row r="53" spans="1:18" ht="15" customHeight="1" x14ac:dyDescent="0.2">
      <c r="A53" s="26" t="str">
        <f t="shared" si="16"/>
        <v/>
      </c>
      <c r="B53" s="29" t="str">
        <f t="shared" si="17"/>
        <v/>
      </c>
      <c r="C53" s="43" t="str">
        <f>IF(ISNA($N53),"",VLOOKUP($B53,Reg!$M$3:$N$202,2,0))</f>
        <v/>
      </c>
      <c r="D53" s="31" t="str">
        <f>IF(ISNA($N53),"",VLOOKUP($B53,Reg!$M$3:$O$202,3,0))</f>
        <v/>
      </c>
      <c r="E53" s="35"/>
      <c r="F53" s="41"/>
      <c r="G53" s="36" t="str">
        <f t="shared" si="18"/>
        <v/>
      </c>
      <c r="H53" s="38" t="str">
        <f t="shared" si="19"/>
        <v/>
      </c>
      <c r="I53" s="29" t="str">
        <f>IF(ISNA($N53),"",VLOOKUP($B53,Reg!$M$3:$P$200,4,0))</f>
        <v/>
      </c>
      <c r="J53" s="46" t="str">
        <f t="shared" si="20"/>
        <v/>
      </c>
      <c r="K53" s="49" t="str">
        <f t="shared" si="21"/>
        <v/>
      </c>
      <c r="N53" s="24" t="e">
        <f>VLOOKUP(47,Reg!$A$2:$M$202,13,0)</f>
        <v>#N/A</v>
      </c>
      <c r="O53" s="25" t="e">
        <f>VLOOKUP($B53,Reg!$M$3:$Q$202,5,0)</f>
        <v>#N/A</v>
      </c>
      <c r="P53" s="25" t="e">
        <f t="shared" si="24"/>
        <v>#VALUE!</v>
      </c>
      <c r="Q53" s="47">
        <f t="shared" si="23"/>
        <v>1000</v>
      </c>
      <c r="R53" s="54">
        <v>50</v>
      </c>
    </row>
  </sheetData>
  <sortState ref="A4:R12">
    <sortCondition ref="K4:K12"/>
  </sortState>
  <mergeCells count="2">
    <mergeCell ref="A2:J2"/>
    <mergeCell ref="A1:K1"/>
  </mergeCells>
  <phoneticPr fontId="3" type="noConversion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zoomScaleNormal="100" workbookViewId="0">
      <selection activeCell="C17" sqref="C17"/>
    </sheetView>
  </sheetViews>
  <sheetFormatPr defaultRowHeight="15" x14ac:dyDescent="0.2"/>
  <cols>
    <col min="1" max="1" width="4.7109375" style="28" customWidth="1"/>
    <col min="2" max="2" width="6.85546875" style="28" customWidth="1"/>
    <col min="3" max="3" width="28.5703125" style="44" customWidth="1"/>
    <col min="4" max="4" width="11.5703125" style="28" customWidth="1"/>
    <col min="5" max="5" width="8.7109375" style="28" customWidth="1"/>
    <col min="6" max="6" width="5.42578125" style="28" customWidth="1"/>
    <col min="7" max="7" width="5.7109375" style="28" customWidth="1"/>
    <col min="8" max="8" width="14.7109375" style="28" customWidth="1"/>
    <col min="9" max="9" width="17.5703125" style="28" customWidth="1"/>
    <col min="10" max="10" width="26.7109375" style="44" customWidth="1"/>
    <col min="11" max="11" width="4.28515625" style="28" customWidth="1"/>
    <col min="12" max="12" width="9.140625" style="28"/>
    <col min="13" max="13" width="9.140625" style="28" customWidth="1"/>
    <col min="14" max="16" width="9.140625" style="28" hidden="1" customWidth="1"/>
    <col min="17" max="17" width="11.28515625" style="28" hidden="1" customWidth="1"/>
    <col min="18" max="18" width="6.140625" style="54" hidden="1" customWidth="1"/>
    <col min="19" max="16384" width="9.140625" style="28"/>
  </cols>
  <sheetData>
    <row r="1" spans="1:18" s="19" customFormat="1" ht="25.5" customHeight="1" x14ac:dyDescent="0.25">
      <c r="A1" s="90" t="s">
        <v>391</v>
      </c>
      <c r="B1" s="91"/>
      <c r="C1" s="91"/>
      <c r="D1" s="91"/>
      <c r="E1" s="91"/>
      <c r="F1" s="91"/>
      <c r="G1" s="91"/>
      <c r="H1" s="91"/>
      <c r="I1" s="91"/>
      <c r="J1" s="91"/>
      <c r="K1" s="92"/>
      <c r="L1" s="17"/>
      <c r="M1" s="17"/>
      <c r="N1" s="17">
        <f>YEAR(Reg!L1)</f>
        <v>2014</v>
      </c>
      <c r="O1" s="18"/>
    </row>
    <row r="2" spans="1:18" s="22" customFormat="1" ht="25.5" customHeight="1" thickBot="1" x14ac:dyDescent="0.25">
      <c r="A2" s="88" t="str">
        <f>"Группа B (девочки "&amp;Reg!D1&amp;"-"&amp;Reg!F1-1&amp;": "&amp;$N$1-Reg!D1&amp;"-"&amp;$N$1-Reg!F1+1&amp;" г.р.)"</f>
        <v>Группа B (девочки 8-10: 2006-2004 г.р.)</v>
      </c>
      <c r="B2" s="89"/>
      <c r="C2" s="89"/>
      <c r="D2" s="89"/>
      <c r="E2" s="89"/>
      <c r="F2" s="89"/>
      <c r="G2" s="89"/>
      <c r="H2" s="89"/>
      <c r="I2" s="89"/>
      <c r="J2" s="89"/>
      <c r="K2" s="50"/>
      <c r="L2" s="20"/>
      <c r="M2" s="20"/>
      <c r="N2" s="20"/>
      <c r="O2" s="21"/>
    </row>
    <row r="3" spans="1:18" s="25" customFormat="1" ht="44.25" customHeight="1" thickBot="1" x14ac:dyDescent="0.25">
      <c r="A3" s="23" t="s">
        <v>5</v>
      </c>
      <c r="B3" s="64" t="s">
        <v>4</v>
      </c>
      <c r="C3" s="42" t="s">
        <v>0</v>
      </c>
      <c r="D3" s="32" t="s">
        <v>6</v>
      </c>
      <c r="E3" s="33" t="s">
        <v>15</v>
      </c>
      <c r="F3" s="62" t="s">
        <v>7</v>
      </c>
      <c r="G3" s="63" t="s">
        <v>16</v>
      </c>
      <c r="H3" s="23" t="s">
        <v>17</v>
      </c>
      <c r="I3" s="32" t="s">
        <v>2</v>
      </c>
      <c r="J3" s="42" t="s">
        <v>3</v>
      </c>
      <c r="K3" s="65" t="s">
        <v>18</v>
      </c>
      <c r="L3" s="24"/>
      <c r="M3" s="24"/>
      <c r="N3" s="24"/>
    </row>
    <row r="4" spans="1:18" s="25" customFormat="1" ht="15" customHeight="1" x14ac:dyDescent="0.2">
      <c r="A4" s="26">
        <f>IF($B4="","",ROW()-3)</f>
        <v>1</v>
      </c>
      <c r="B4" s="29">
        <f>IF(ISNA($N4),"",$N4)</f>
        <v>8</v>
      </c>
      <c r="C4" s="43" t="str">
        <f>IF(ISNA($N4),"",VLOOKUP($B4,Reg!$M$3:$N$202,2,0))</f>
        <v>Макарова Елизавета</v>
      </c>
      <c r="D4" s="30">
        <f>IF(ISNA($N4),"",VLOOKUP($B4,Reg!$M$3:$O$202,3,0))</f>
        <v>38069</v>
      </c>
      <c r="E4" s="34">
        <v>47.744</v>
      </c>
      <c r="F4" s="40">
        <v>1</v>
      </c>
      <c r="G4" s="53">
        <f>IF(ISBLANK($E4),"",IF(ISBLANK($F4),0,$F4*2))</f>
        <v>2</v>
      </c>
      <c r="H4" s="37" t="str">
        <f>IF(ISBLANK($E4),"",TEXT($P4,"###")&amp;IF($P4=0,""," мин ")&amp;TEXT($E4+$G4-$P4*60,"###,###")&amp;" с")</f>
        <v>49,744 с</v>
      </c>
      <c r="I4" s="29" t="str">
        <f>IF(ISNA($N4),"",VLOOKUP($B4,Reg!$M$3:$P$200,4,0))</f>
        <v>Ульяновск</v>
      </c>
      <c r="J4" s="45" t="str">
        <f>IF(ISNA($O4),"",IF($O4=0,"",$O4))</f>
        <v>Jerzy</v>
      </c>
      <c r="K4" s="48">
        <f>IF($E4&gt;0,RANK($Q4,$Q$4:$Q$50,1),"")</f>
        <v>1</v>
      </c>
      <c r="L4" s="27"/>
      <c r="M4" s="27"/>
      <c r="N4" s="24">
        <f>VLOOKUP(7,Reg!$D$2:$M$202,10,0)</f>
        <v>8</v>
      </c>
      <c r="O4" s="25" t="str">
        <f>VLOOKUP($B4,Reg!$M$3:$Q$202,5,0)</f>
        <v>Jerzy</v>
      </c>
      <c r="P4" s="25">
        <f>INT((E4+G4)/60)</f>
        <v>0</v>
      </c>
      <c r="Q4" s="47">
        <f>IF($E4&gt;0,$E4+$G4,1000)</f>
        <v>49.744</v>
      </c>
      <c r="R4" s="25">
        <v>7</v>
      </c>
    </row>
    <row r="5" spans="1:18" s="25" customFormat="1" ht="15" customHeight="1" x14ac:dyDescent="0.2">
      <c r="A5" s="26">
        <f>IF($B5="","",ROW()-3)</f>
        <v>2</v>
      </c>
      <c r="B5" s="29">
        <f>IF(ISNA($N5),"",$N5)</f>
        <v>26</v>
      </c>
      <c r="C5" s="43" t="str">
        <f>IF(ISNA($N5),"",VLOOKUP($B5,Reg!$M$3:$N$202,2,0))</f>
        <v>Некрасова Дарья</v>
      </c>
      <c r="D5" s="31">
        <f>IF(ISNA($N5),"",VLOOKUP($B5,Reg!$M$3:$O$202,3,0))</f>
        <v>38026</v>
      </c>
      <c r="E5" s="35">
        <v>53.69</v>
      </c>
      <c r="F5" s="41">
        <v>1</v>
      </c>
      <c r="G5" s="36">
        <f>IF(ISBLANK($E5),"",IF(ISBLANK($F5),0,$F5*2))</f>
        <v>2</v>
      </c>
      <c r="H5" s="38" t="str">
        <f>IF(ISBLANK($E5),"",TEXT($P5,"###")&amp;IF($P5=0,""," мин ")&amp;TEXT($E5+$G5-$P5*60,"###,###")&amp;" с")</f>
        <v>55,69 с</v>
      </c>
      <c r="I5" s="29" t="str">
        <f>IF(ISNA($N5),"",VLOOKUP($B5,Reg!$M$3:$P$200,4,0))</f>
        <v>Самара</v>
      </c>
      <c r="J5" s="46" t="str">
        <f>IF(ISNA($O5),"",IF($O5=0,"",$O5))</f>
        <v xml:space="preserve"> </v>
      </c>
      <c r="K5" s="49">
        <f>IF($E5&gt;0,RANK($Q5,$Q$4:$Q$50,1),"")</f>
        <v>2</v>
      </c>
      <c r="L5" s="27"/>
      <c r="M5" s="27"/>
      <c r="N5" s="24">
        <f>VLOOKUP(9,Reg!$D$2:$M$202,10,0)</f>
        <v>26</v>
      </c>
      <c r="O5" s="25" t="str">
        <f>VLOOKUP($B5,Reg!$M$3:$Q$202,5,0)</f>
        <v xml:space="preserve"> </v>
      </c>
      <c r="P5" s="25">
        <f>INT((E5+G5)/60)</f>
        <v>0</v>
      </c>
      <c r="Q5" s="47">
        <f>IF($E5&gt;0,$E5+$G5,1000)</f>
        <v>55.69</v>
      </c>
      <c r="R5" s="25">
        <v>9</v>
      </c>
    </row>
    <row r="6" spans="1:18" s="25" customFormat="1" ht="15" customHeight="1" x14ac:dyDescent="0.2">
      <c r="A6" s="26">
        <f>IF($B6="","",ROW()-3)</f>
        <v>3</v>
      </c>
      <c r="B6" s="29">
        <f>IF(ISNA($N6),"",$N6)</f>
        <v>39</v>
      </c>
      <c r="C6" s="43" t="str">
        <f>IF(ISNA($N6),"",VLOOKUP($B6,Reg!$M$3:$N$202,2,0))</f>
        <v>Сокова Валерия</v>
      </c>
      <c r="D6" s="31">
        <f>IF(ISNA($N6),"",VLOOKUP($B6,Reg!$M$3:$O$202,3,0))</f>
        <v>38352</v>
      </c>
      <c r="E6" s="35">
        <v>59.640999999999998</v>
      </c>
      <c r="F6" s="41"/>
      <c r="G6" s="36">
        <f>IF(ISBLANK($E6),"",IF(ISBLANK($F6),0,$F6*2))</f>
        <v>0</v>
      </c>
      <c r="H6" s="38" t="str">
        <f>IF(ISBLANK($E6),"",TEXT($P6,"###")&amp;IF($P6=0,""," мин ")&amp;TEXT($E6+$G6-$P6*60,"###,###")&amp;" с")</f>
        <v>59,641 с</v>
      </c>
      <c r="I6" s="29" t="str">
        <f>IF(ISNA($N6),"",VLOOKUP($B6,Reg!$M$3:$P$200,4,0))</f>
        <v>Ульяновск</v>
      </c>
      <c r="J6" s="46" t="str">
        <f>IF(ISNA($O6),"",IF($O6=0,"",$O6))</f>
        <v xml:space="preserve"> </v>
      </c>
      <c r="K6" s="49">
        <f>IF($E6&gt;0,RANK($Q6,$Q$4:$Q$50,1),"")</f>
        <v>3</v>
      </c>
      <c r="L6" s="24"/>
      <c r="M6" s="24"/>
      <c r="N6" s="24">
        <f>VLOOKUP(12,Reg!$D$2:$M$202,10,0)</f>
        <v>39</v>
      </c>
      <c r="O6" s="25" t="str">
        <f>VLOOKUP($B6,Reg!$M$3:$Q$202,5,0)</f>
        <v xml:space="preserve"> </v>
      </c>
      <c r="P6" s="25">
        <f>INT((E6+G6)/60)</f>
        <v>0</v>
      </c>
      <c r="Q6" s="47">
        <f>IF($E6&gt;0,$E6+$G6,1000)</f>
        <v>59.640999999999998</v>
      </c>
      <c r="R6" s="54">
        <v>12</v>
      </c>
    </row>
    <row r="7" spans="1:18" s="25" customFormat="1" ht="15" customHeight="1" x14ac:dyDescent="0.2">
      <c r="A7" s="26">
        <f>IF($B7="","",ROW()-3)</f>
        <v>4</v>
      </c>
      <c r="B7" s="29">
        <f>IF(ISNA($N7),"",$N7)</f>
        <v>21</v>
      </c>
      <c r="C7" s="43" t="str">
        <f>IF(ISNA($N7),"",VLOOKUP($B7,Reg!$M$3:$N$202,2,0))</f>
        <v>Ивлева Екатерина</v>
      </c>
      <c r="D7" s="31">
        <f>IF(ISNA($N7),"",VLOOKUP($B7,Reg!$M$3:$O$202,3,0))</f>
        <v>38042</v>
      </c>
      <c r="E7" s="35">
        <v>63.411000000000001</v>
      </c>
      <c r="F7" s="41"/>
      <c r="G7" s="36">
        <f>IF(ISBLANK($E7),"",IF(ISBLANK($F7),0,$F7*2))</f>
        <v>0</v>
      </c>
      <c r="H7" s="38" t="str">
        <f>IF(ISBLANK($E7),"",TEXT($P7,"###")&amp;IF($P7=0,""," мин ")&amp;TEXT($E7+$G7-$P7*60,"###,###")&amp;" с")</f>
        <v>1 мин 3,411 с</v>
      </c>
      <c r="I7" s="29" t="str">
        <f>IF(ISNA($N7),"",VLOOKUP($B7,Reg!$M$3:$P$200,4,0))</f>
        <v>Ульяновск</v>
      </c>
      <c r="J7" s="46" t="str">
        <f>IF(ISNA($O7),"",IF($O7=0,"",$O7))</f>
        <v xml:space="preserve"> </v>
      </c>
      <c r="K7" s="49">
        <f>IF($E7&gt;0,RANK($Q7,$Q$4:$Q$50,1),"")</f>
        <v>4</v>
      </c>
      <c r="L7" s="27"/>
      <c r="M7" s="27"/>
      <c r="N7" s="24">
        <f>VLOOKUP(4,Reg!$D$2:$M$202,10,0)</f>
        <v>21</v>
      </c>
      <c r="O7" s="25" t="str">
        <f>VLOOKUP($B7,Reg!$M$3:$Q$202,5,0)</f>
        <v xml:space="preserve"> </v>
      </c>
      <c r="P7" s="25">
        <f>INT((E7+G7)/60)</f>
        <v>1</v>
      </c>
      <c r="Q7" s="47">
        <f>IF($E7&gt;0,$E7+$G7,1000)</f>
        <v>63.411000000000001</v>
      </c>
      <c r="R7" s="25">
        <v>4</v>
      </c>
    </row>
    <row r="8" spans="1:18" s="25" customFormat="1" ht="15" customHeight="1" x14ac:dyDescent="0.2">
      <c r="A8" s="26">
        <f>IF($B8="","",ROW()-3)</f>
        <v>5</v>
      </c>
      <c r="B8" s="29">
        <f>IF(ISNA($N8),"",$N8)</f>
        <v>47</v>
      </c>
      <c r="C8" s="43" t="str">
        <f>IF(ISNA($N8),"",VLOOKUP($B8,Reg!$M$3:$N$202,2,0))</f>
        <v>Забирова Аделина</v>
      </c>
      <c r="D8" s="31">
        <f>IF(ISNA($N8),"",VLOOKUP($B8,Reg!$M$3:$O$202,3,0))</f>
        <v>38462</v>
      </c>
      <c r="E8" s="35">
        <v>61.085999999999999</v>
      </c>
      <c r="F8" s="41">
        <v>2</v>
      </c>
      <c r="G8" s="36">
        <f>IF(ISBLANK($E8),"",IF(ISBLANK($F8),0,$F8*2))</f>
        <v>4</v>
      </c>
      <c r="H8" s="38" t="str">
        <f>IF(ISBLANK($E8),"",TEXT($P8,"###")&amp;IF($P8=0,""," мин ")&amp;TEXT($E8+$G8-$P8*60,"###,###")&amp;" с")</f>
        <v>1 мин 5,086 с</v>
      </c>
      <c r="I8" s="29" t="str">
        <f>IF(ISNA($N8),"",VLOOKUP($B8,Reg!$M$3:$P$200,4,0))</f>
        <v>Ульяновск</v>
      </c>
      <c r="J8" s="46" t="str">
        <f>IF(ISNA($O8),"",IF($O8=0,"",$O8))</f>
        <v xml:space="preserve"> </v>
      </c>
      <c r="K8" s="49">
        <f>IF($E8&gt;0,RANK($Q8,$Q$4:$Q$50,1),"")</f>
        <v>5</v>
      </c>
      <c r="L8" s="24"/>
      <c r="M8" s="24"/>
      <c r="N8" s="24">
        <f>VLOOKUP(2,Reg!$D$2:$M$202,10,0)</f>
        <v>47</v>
      </c>
      <c r="O8" s="25" t="str">
        <f>VLOOKUP($B8,Reg!$M$3:$Q$202,5,0)</f>
        <v xml:space="preserve"> </v>
      </c>
      <c r="P8" s="25">
        <f>INT((E8+G8)/60)</f>
        <v>1</v>
      </c>
      <c r="Q8" s="47">
        <f>IF($E8&gt;0,$E8+$G8,1000)</f>
        <v>65.085999999999999</v>
      </c>
      <c r="R8" s="25">
        <v>2</v>
      </c>
    </row>
    <row r="9" spans="1:18" s="25" customFormat="1" ht="15" customHeight="1" x14ac:dyDescent="0.2">
      <c r="A9" s="26">
        <f>IF($B9="","",ROW()-3)</f>
        <v>6</v>
      </c>
      <c r="B9" s="29">
        <f>IF(ISNA($N9),"",$N9)</f>
        <v>34</v>
      </c>
      <c r="C9" s="43" t="str">
        <f>IF(ISNA($N9),"",VLOOKUP($B9,Reg!$M$3:$N$202,2,0))</f>
        <v>Белялова Дарья</v>
      </c>
      <c r="D9" s="31">
        <f>IF(ISNA($N9),"",VLOOKUP($B9,Reg!$M$3:$O$202,3,0))</f>
        <v>38088</v>
      </c>
      <c r="E9" s="35">
        <v>68.043000000000006</v>
      </c>
      <c r="F9" s="41"/>
      <c r="G9" s="36">
        <f>IF(ISBLANK($E9),"",IF(ISBLANK($F9),0,$F9*2))</f>
        <v>0</v>
      </c>
      <c r="H9" s="38" t="str">
        <f>IF(ISBLANK($E9),"",TEXT($P9,"###")&amp;IF($P9=0,""," мин ")&amp;TEXT($E9+$G9-$P9*60,"###,###")&amp;" с")</f>
        <v>1 мин 8,043 с</v>
      </c>
      <c r="I9" s="29" t="str">
        <f>IF(ISNA($N9),"",VLOOKUP($B9,Reg!$M$3:$P$200,4,0))</f>
        <v>Ульяновск</v>
      </c>
      <c r="J9" s="46" t="str">
        <f>IF(ISNA($O9),"",IF($O9=0,"",$O9))</f>
        <v xml:space="preserve"> </v>
      </c>
      <c r="K9" s="49">
        <f>IF($E9&gt;0,RANK($Q9,$Q$4:$Q$50,1),"")</f>
        <v>6</v>
      </c>
      <c r="L9" s="27"/>
      <c r="M9" s="27"/>
      <c r="N9" s="24">
        <f>VLOOKUP(1,Reg!$D$2:$M$202,10,0)</f>
        <v>34</v>
      </c>
      <c r="O9" s="25" t="str">
        <f>VLOOKUP($B9,Reg!$M$3:$Q$202,5,0)</f>
        <v xml:space="preserve"> </v>
      </c>
      <c r="P9" s="25">
        <f>INT((E9+G9)/60)</f>
        <v>1</v>
      </c>
      <c r="Q9" s="47">
        <f>IF($E9&gt;0,$E9+$G9,1000)</f>
        <v>68.043000000000006</v>
      </c>
      <c r="R9" s="25">
        <v>1</v>
      </c>
    </row>
    <row r="10" spans="1:18" s="25" customFormat="1" ht="15" customHeight="1" x14ac:dyDescent="0.2">
      <c r="A10" s="26">
        <f>IF($B10="","",ROW()-3)</f>
        <v>7</v>
      </c>
      <c r="B10" s="29">
        <f>IF(ISNA($N10),"",$N10)</f>
        <v>44</v>
      </c>
      <c r="C10" s="43" t="str">
        <f>IF(ISNA($N10),"",VLOOKUP($B10,Reg!$M$3:$N$202,2,0))</f>
        <v>Козловская Ольга</v>
      </c>
      <c r="D10" s="31">
        <f>IF(ISNA($N10),"",VLOOKUP($B10,Reg!$M$3:$O$202,3,0))</f>
        <v>38919</v>
      </c>
      <c r="E10" s="35">
        <v>66.087000000000003</v>
      </c>
      <c r="F10" s="41">
        <v>1</v>
      </c>
      <c r="G10" s="36">
        <f>IF(ISBLANK($E10),"",IF(ISBLANK($F10),0,$F10*2))</f>
        <v>2</v>
      </c>
      <c r="H10" s="38" t="str">
        <f>IF(ISBLANK($E10),"",TEXT($P10,"###")&amp;IF($P10=0,""," мин ")&amp;TEXT($E10+$G10-$P10*60,"###,###")&amp;" с")</f>
        <v>1 мин 8,087 с</v>
      </c>
      <c r="I10" s="29" t="str">
        <f>IF(ISNA($N10),"",VLOOKUP($B10,Reg!$M$3:$P$200,4,0))</f>
        <v>Ульяновск</v>
      </c>
      <c r="J10" s="46" t="str">
        <f>IF(ISNA($O10),"",IF($O10=0,"",$O10))</f>
        <v xml:space="preserve"> </v>
      </c>
      <c r="K10" s="49">
        <f>IF($E10&gt;0,RANK($Q10,$Q$4:$Q$50,1),"")</f>
        <v>7</v>
      </c>
      <c r="L10" s="27"/>
      <c r="M10" s="27"/>
      <c r="N10" s="24">
        <f>VLOOKUP(5,Reg!$D$2:$M$202,10,0)</f>
        <v>44</v>
      </c>
      <c r="O10" s="25" t="str">
        <f>VLOOKUP($B10,Reg!$M$3:$Q$202,5,0)</f>
        <v xml:space="preserve"> </v>
      </c>
      <c r="P10" s="25">
        <f>INT((E10+G10)/60)</f>
        <v>1</v>
      </c>
      <c r="Q10" s="47">
        <f>IF($E10&gt;0,$E10+$G10,1000)</f>
        <v>68.087000000000003</v>
      </c>
      <c r="R10" s="25">
        <v>5</v>
      </c>
    </row>
    <row r="11" spans="1:18" s="25" customFormat="1" ht="15" customHeight="1" x14ac:dyDescent="0.2">
      <c r="A11" s="26">
        <f>IF($B11="","",ROW()-3)</f>
        <v>8</v>
      </c>
      <c r="B11" s="29">
        <f>IF(ISNA($N11),"",$N11)</f>
        <v>19</v>
      </c>
      <c r="C11" s="43" t="str">
        <f>IF(ISNA($N11),"",VLOOKUP($B11,Reg!$M$3:$N$202,2,0))</f>
        <v>Иванова Янина</v>
      </c>
      <c r="D11" s="31">
        <f>IF(ISNA($N11),"",VLOOKUP($B11,Reg!$M$3:$O$202,3,0))</f>
        <v>38418</v>
      </c>
      <c r="E11" s="35">
        <v>67.652000000000001</v>
      </c>
      <c r="F11" s="41">
        <v>1</v>
      </c>
      <c r="G11" s="52">
        <f>IF(ISBLANK($E11),"",IF(ISBLANK($F11),0,$F11*2))</f>
        <v>2</v>
      </c>
      <c r="H11" s="38" t="str">
        <f>IF(ISBLANK($E11),"",TEXT($P11,"###")&amp;IF($P11=0,""," мин ")&amp;TEXT($E11+$G11-$P11*60,"###,###")&amp;" с")</f>
        <v>1 мин 9,652 с</v>
      </c>
      <c r="I11" s="29" t="str">
        <f>IF(ISNA($N11),"",VLOOKUP($B11,Reg!$M$3:$P$200,4,0))</f>
        <v>Ульяновск</v>
      </c>
      <c r="J11" s="46" t="str">
        <f>IF(ISNA($O11),"",IF($O11=0,"",$O11))</f>
        <v xml:space="preserve"> </v>
      </c>
      <c r="K11" s="49">
        <f>IF($E11&gt;0,RANK($Q11,$Q$4:$Q$50,1),"")</f>
        <v>8</v>
      </c>
      <c r="L11" s="24"/>
      <c r="M11" s="24"/>
      <c r="N11" s="24">
        <f>VLOOKUP(3,Reg!$D$2:$M$202,10,0)</f>
        <v>19</v>
      </c>
      <c r="O11" s="25" t="str">
        <f>VLOOKUP($B11,Reg!$M$3:$Q$202,5,0)</f>
        <v xml:space="preserve"> </v>
      </c>
      <c r="P11" s="25">
        <f>INT((E11+G11)/60)</f>
        <v>1</v>
      </c>
      <c r="Q11" s="47">
        <f>IF($E11&gt;0,$E11+$G11,1000)</f>
        <v>69.652000000000001</v>
      </c>
      <c r="R11" s="25">
        <v>3</v>
      </c>
    </row>
    <row r="12" spans="1:18" s="25" customFormat="1" ht="15" customHeight="1" x14ac:dyDescent="0.2">
      <c r="A12" s="26">
        <f>IF($B12="","",ROW()-3)</f>
        <v>9</v>
      </c>
      <c r="B12" s="29">
        <f>IF(ISNA($N12),"",$N12)</f>
        <v>40</v>
      </c>
      <c r="C12" s="43" t="str">
        <f>IF(ISNA($N12),"",VLOOKUP($B12,Reg!$M$3:$N$202,2,0))</f>
        <v>Сокова Влада</v>
      </c>
      <c r="D12" s="31">
        <f>IF(ISNA($N12),"",VLOOKUP($B12,Reg!$M$3:$O$202,3,0))</f>
        <v>38352</v>
      </c>
      <c r="E12" s="35">
        <v>65.343000000000004</v>
      </c>
      <c r="F12" s="41">
        <v>3</v>
      </c>
      <c r="G12" s="36">
        <f>IF(ISBLANK($E12),"",IF(ISBLANK($F12),0,$F12*2))</f>
        <v>6</v>
      </c>
      <c r="H12" s="38" t="str">
        <f>IF(ISBLANK($E12),"",TEXT($P12,"###")&amp;IF($P12=0,""," мин ")&amp;TEXT($E12+$G12-$P12*60,"###,###")&amp;" с")</f>
        <v>1 мин 11,343 с</v>
      </c>
      <c r="I12" s="29" t="str">
        <f>IF(ISNA($N12),"",VLOOKUP($B12,Reg!$M$3:$P$200,4,0))</f>
        <v>Ульяновск</v>
      </c>
      <c r="J12" s="46" t="str">
        <f>IF(ISNA($O12),"",IF($O12=0,"",$O12))</f>
        <v xml:space="preserve"> </v>
      </c>
      <c r="K12" s="49">
        <f>IF($E12&gt;0,RANK($Q12,$Q$4:$Q$50,1),"")</f>
        <v>9</v>
      </c>
      <c r="L12" s="24"/>
      <c r="M12" s="24"/>
      <c r="N12" s="24">
        <f>VLOOKUP(13,Reg!$D$2:$M$202,10,0)</f>
        <v>40</v>
      </c>
      <c r="O12" s="25" t="str">
        <f>VLOOKUP($B12,Reg!$M$3:$Q$202,5,0)</f>
        <v xml:space="preserve"> </v>
      </c>
      <c r="P12" s="25">
        <f>INT((E12+G12)/60)</f>
        <v>1</v>
      </c>
      <c r="Q12" s="47">
        <f>IF($E12&gt;0,$E12+$G12,1000)</f>
        <v>71.343000000000004</v>
      </c>
      <c r="R12" s="54">
        <v>13</v>
      </c>
    </row>
    <row r="13" spans="1:18" ht="15" customHeight="1" x14ac:dyDescent="0.2">
      <c r="A13" s="26">
        <f>IF($B13="","",ROW()-3)</f>
        <v>10</v>
      </c>
      <c r="B13" s="29">
        <f>IF(ISNA($N13),"",$N13)</f>
        <v>11</v>
      </c>
      <c r="C13" s="43" t="str">
        <f>IF(ISNA($N13),"",VLOOKUP($B13,Reg!$M$3:$N$202,2,0))</f>
        <v>Мубинова Софья</v>
      </c>
      <c r="D13" s="31">
        <f>IF(ISNA($N13),"",VLOOKUP($B13,Reg!$M$3:$O$202,3,0))</f>
        <v>38882</v>
      </c>
      <c r="E13" s="35">
        <v>68.397000000000006</v>
      </c>
      <c r="F13" s="41">
        <v>2</v>
      </c>
      <c r="G13" s="36">
        <f>IF(ISBLANK($E13),"",IF(ISBLANK($F13),0,$F13*2))</f>
        <v>4</v>
      </c>
      <c r="H13" s="38" t="str">
        <f>IF(ISBLANK($E13),"",TEXT($P13,"###")&amp;IF($P13=0,""," мин ")&amp;TEXT($E13+$G13-$P13*60,"###,###")&amp;" с")</f>
        <v>1 мин 12,397 с</v>
      </c>
      <c r="I13" s="29" t="str">
        <f>IF(ISNA($N13),"",VLOOKUP($B13,Reg!$M$3:$P$200,4,0))</f>
        <v>Ульяновск</v>
      </c>
      <c r="J13" s="46" t="str">
        <f>IF(ISNA($O13),"",IF($O13=0,"",$O13))</f>
        <v>Jerzy</v>
      </c>
      <c r="K13" s="49">
        <f>IF($E13&gt;0,RANK($Q13,$Q$4:$Q$50,1),"")</f>
        <v>10</v>
      </c>
      <c r="L13" s="27"/>
      <c r="M13" s="27"/>
      <c r="N13" s="24">
        <f>VLOOKUP(8,Reg!$D$2:$M$202,10,0)</f>
        <v>11</v>
      </c>
      <c r="O13" s="25" t="str">
        <f>VLOOKUP($B13,Reg!$M$3:$Q$202,5,0)</f>
        <v>Jerzy</v>
      </c>
      <c r="P13" s="25">
        <f>INT((E13+G13)/60)</f>
        <v>1</v>
      </c>
      <c r="Q13" s="47">
        <f>IF($E13&gt;0,$E13+$G13,1000)</f>
        <v>72.397000000000006</v>
      </c>
      <c r="R13" s="25">
        <v>8</v>
      </c>
    </row>
    <row r="14" spans="1:18" ht="15" customHeight="1" x14ac:dyDescent="0.2">
      <c r="A14" s="26">
        <f>IF($B14="","",ROW()-3)</f>
        <v>11</v>
      </c>
      <c r="B14" s="29">
        <f>IF(ISNA($N14),"",$N14)</f>
        <v>14</v>
      </c>
      <c r="C14" s="43" t="str">
        <f>IF(ISNA($N14),"",VLOOKUP($B14,Reg!$M$3:$N$202,2,0))</f>
        <v>Корнилова Яна</v>
      </c>
      <c r="D14" s="31">
        <f>IF(ISNA($N14),"",VLOOKUP($B14,Reg!$M$3:$O$202,3,0))</f>
        <v>38920</v>
      </c>
      <c r="E14" s="35">
        <v>74.117999999999995</v>
      </c>
      <c r="F14" s="41">
        <v>1</v>
      </c>
      <c r="G14" s="36">
        <f>IF(ISBLANK($E14),"",IF(ISBLANK($F14),0,$F14*2))</f>
        <v>2</v>
      </c>
      <c r="H14" s="38" t="str">
        <f>IF(ISBLANK($E14),"",TEXT($P14,"###")&amp;IF($P14=0,""," мин ")&amp;TEXT($E14+$G14-$P14*60,"###,###")&amp;" с")</f>
        <v>1 мин 16,118 с</v>
      </c>
      <c r="I14" s="29" t="str">
        <f>IF(ISNA($N14),"",VLOOKUP($B14,Reg!$M$3:$P$200,4,0))</f>
        <v>Ульяновск</v>
      </c>
      <c r="J14" s="46" t="str">
        <f>IF(ISNA($O14),"",IF($O14=0,"",$O14))</f>
        <v xml:space="preserve"> </v>
      </c>
      <c r="K14" s="49">
        <f>IF($E14&gt;0,RANK($Q14,$Q$4:$Q$50,1),"")</f>
        <v>11</v>
      </c>
      <c r="L14" s="27"/>
      <c r="M14" s="27"/>
      <c r="N14" s="24">
        <f>VLOOKUP(6,Reg!$D$2:$M$202,10,0)</f>
        <v>14</v>
      </c>
      <c r="O14" s="25" t="str">
        <f>VLOOKUP($B14,Reg!$M$3:$Q$202,5,0)</f>
        <v xml:space="preserve"> </v>
      </c>
      <c r="P14" s="25">
        <f>INT((E14+G14)/60)</f>
        <v>1</v>
      </c>
      <c r="Q14" s="47">
        <f>IF($E14&gt;0,$E14+$G14,1000)</f>
        <v>76.117999999999995</v>
      </c>
      <c r="R14" s="25">
        <v>6</v>
      </c>
    </row>
    <row r="15" spans="1:18" ht="15" customHeight="1" x14ac:dyDescent="0.2">
      <c r="A15" s="26">
        <f>IF($B15="","",ROW()-3)</f>
        <v>12</v>
      </c>
      <c r="B15" s="29">
        <f>IF(ISNA($N15),"",$N15)</f>
        <v>51</v>
      </c>
      <c r="C15" s="43" t="str">
        <f>IF(ISNA($N15),"",VLOOKUP($B15,Reg!$M$3:$N$202,2,0))</f>
        <v>Обидова Аниса</v>
      </c>
      <c r="D15" s="31">
        <f>IF(ISNA($N15),"",VLOOKUP($B15,Reg!$M$3:$O$202,3,0))</f>
        <v>38598</v>
      </c>
      <c r="E15" s="35">
        <v>72.757999999999996</v>
      </c>
      <c r="F15" s="41">
        <v>2</v>
      </c>
      <c r="G15" s="36">
        <f>IF(ISBLANK($E15),"",IF(ISBLANK($F15),0,$F15*2))</f>
        <v>4</v>
      </c>
      <c r="H15" s="38" t="str">
        <f>IF(ISBLANK($E15),"",TEXT($P15,"###")&amp;IF($P15=0,""," мин ")&amp;TEXT($E15+$G15-$P15*60,"###,###")&amp;" с")</f>
        <v>1 мин 16,758 с</v>
      </c>
      <c r="I15" s="29" t="str">
        <f>IF(ISNA($N15),"",VLOOKUP($B15,Reg!$M$3:$P$200,4,0))</f>
        <v>Ульяновск</v>
      </c>
      <c r="J15" s="46" t="str">
        <f>IF(ISNA($O15),"",IF($O15=0,"",$O15))</f>
        <v xml:space="preserve"> </v>
      </c>
      <c r="K15" s="49">
        <f>IF($E15&gt;0,RANK($Q15,$Q$4:$Q$50,1),"")</f>
        <v>12</v>
      </c>
      <c r="L15" s="27"/>
      <c r="M15" s="27"/>
      <c r="N15" s="24">
        <f>VLOOKUP(10,Reg!$D$2:$M$202,10,0)</f>
        <v>51</v>
      </c>
      <c r="O15" s="25" t="str">
        <f>VLOOKUP($B15,Reg!$M$3:$Q$202,5,0)</f>
        <v xml:space="preserve"> </v>
      </c>
      <c r="P15" s="25">
        <f>INT((E15+G15)/60)</f>
        <v>1</v>
      </c>
      <c r="Q15" s="47">
        <f>IF($E15&gt;0,$E15+$G15,1000)</f>
        <v>76.757999999999996</v>
      </c>
      <c r="R15" s="54">
        <v>10</v>
      </c>
    </row>
    <row r="16" spans="1:18" ht="15" customHeight="1" x14ac:dyDescent="0.2">
      <c r="A16" s="26">
        <f>IF($B16="","",ROW()-3)</f>
        <v>13</v>
      </c>
      <c r="B16" s="29">
        <f>IF(ISNA($N16),"",$N16)</f>
        <v>32</v>
      </c>
      <c r="C16" s="43" t="str">
        <f>IF(ISNA($N16),"",VLOOKUP($B16,Reg!$M$3:$N$202,2,0))</f>
        <v>Соболева Яна</v>
      </c>
      <c r="D16" s="31">
        <f>IF(ISNA($N16),"",VLOOKUP($B16,Reg!$M$3:$O$202,3,0))</f>
        <v>38725</v>
      </c>
      <c r="E16" s="35">
        <v>82.796999999999997</v>
      </c>
      <c r="F16" s="41"/>
      <c r="G16" s="36">
        <f>IF(ISBLANK($E16),"",IF(ISBLANK($F16),0,$F16*2))</f>
        <v>0</v>
      </c>
      <c r="H16" s="38" t="str">
        <f>IF(ISBLANK($E16),"",TEXT($P16,"###")&amp;IF($P16=0,""," мин ")&amp;TEXT($E16+$G16-$P16*60,"###,###")&amp;" с")</f>
        <v>1 мин 22,797 с</v>
      </c>
      <c r="I16" s="29" t="str">
        <f>IF(ISNA($N16),"",VLOOKUP($B16,Reg!$M$3:$P$200,4,0))</f>
        <v>Ульяновск</v>
      </c>
      <c r="J16" s="46" t="str">
        <f>IF(ISNA($O16),"",IF($O16=0,"",$O16))</f>
        <v xml:space="preserve"> </v>
      </c>
      <c r="K16" s="49">
        <f>IF($E16&gt;0,RANK($Q16,$Q$4:$Q$50,1),"")</f>
        <v>13</v>
      </c>
      <c r="L16" s="24"/>
      <c r="M16" s="24"/>
      <c r="N16" s="24">
        <f>VLOOKUP(11,Reg!$D$2:$M$202,10,0)</f>
        <v>32</v>
      </c>
      <c r="O16" s="25" t="str">
        <f>VLOOKUP($B16,Reg!$M$3:$Q$202,5,0)</f>
        <v xml:space="preserve"> </v>
      </c>
      <c r="P16" s="25">
        <f>INT((E16+G16)/60)</f>
        <v>1</v>
      </c>
      <c r="Q16" s="47">
        <f>IF($E16&gt;0,$E16+$G16,1000)</f>
        <v>82.796999999999997</v>
      </c>
      <c r="R16" s="54">
        <v>11</v>
      </c>
    </row>
    <row r="17" spans="1:18" ht="15" customHeight="1" x14ac:dyDescent="0.2">
      <c r="A17" s="26" t="str">
        <f t="shared" ref="A7:A28" si="0">IF($B17="","",ROW()-3)</f>
        <v/>
      </c>
      <c r="B17" s="29" t="str">
        <f t="shared" ref="B7:B28" si="1">IF(ISNA($N17),"",$N17)</f>
        <v/>
      </c>
      <c r="C17" s="43" t="str">
        <f>IF(ISNA($N17),"",VLOOKUP($B17,Reg!$M$3:$N$202,2,0))</f>
        <v/>
      </c>
      <c r="D17" s="31" t="str">
        <f>IF(ISNA($N17),"",VLOOKUP($B17,Reg!$M$3:$O$202,3,0))</f>
        <v/>
      </c>
      <c r="E17" s="35"/>
      <c r="F17" s="41"/>
      <c r="G17" s="36" t="str">
        <f t="shared" ref="G7:G28" si="2">IF(ISBLANK($E17),"",IF(ISBLANK($F17),0,$F17*2))</f>
        <v/>
      </c>
      <c r="H17" s="38" t="str">
        <f t="shared" ref="H7:H28" si="3">IF(ISBLANK($E17),"",TEXT($P17,"###")&amp;IF($P17=0,""," мин ")&amp;TEXT($E17+$G17-$P17*60,"###,###")&amp;" с")</f>
        <v/>
      </c>
      <c r="I17" s="29" t="str">
        <f>IF(ISNA($N17),"",VLOOKUP($B17,Reg!$M$3:$P$200,4,0))</f>
        <v/>
      </c>
      <c r="J17" s="46" t="str">
        <f t="shared" ref="J7:J30" si="4">IF(ISNA($O17),"",IF($O17=0,"",$O17))</f>
        <v/>
      </c>
      <c r="K17" s="49" t="str">
        <f t="shared" ref="K7:K28" si="5">IF($E17&gt;0,RANK($Q17,$Q$4:$Q$50,1),"")</f>
        <v/>
      </c>
      <c r="L17" s="27"/>
      <c r="M17" s="27"/>
      <c r="N17" s="24" t="e">
        <f>VLOOKUP(14,Reg!$D$2:$M$202,10,0)</f>
        <v>#N/A</v>
      </c>
      <c r="O17" s="25" t="e">
        <f>VLOOKUP($B17,Reg!$M$3:$Q$202,5,0)</f>
        <v>#N/A</v>
      </c>
      <c r="P17" s="25" t="e">
        <f t="shared" ref="P8:P28" si="6">INT((E17+G17)/60)</f>
        <v>#VALUE!</v>
      </c>
      <c r="Q17" s="47">
        <f t="shared" ref="Q8:Q28" si="7">IF($E17&gt;0,$E17+$G17,1000)</f>
        <v>1000</v>
      </c>
      <c r="R17" s="54">
        <v>14</v>
      </c>
    </row>
    <row r="18" spans="1:18" ht="15" customHeight="1" x14ac:dyDescent="0.2">
      <c r="A18" s="26" t="str">
        <f t="shared" si="0"/>
        <v/>
      </c>
      <c r="B18" s="29" t="str">
        <f t="shared" si="1"/>
        <v/>
      </c>
      <c r="C18" s="43" t="str">
        <f>IF(ISNA($N18),"",VLOOKUP($B18,Reg!$M$3:$N$202,2,0))</f>
        <v/>
      </c>
      <c r="D18" s="31" t="str">
        <f>IF(ISNA($N18),"",VLOOKUP($B18,Reg!$M$3:$O$202,3,0))</f>
        <v/>
      </c>
      <c r="E18" s="35"/>
      <c r="F18" s="41"/>
      <c r="G18" s="36" t="str">
        <f t="shared" si="2"/>
        <v/>
      </c>
      <c r="H18" s="38" t="str">
        <f t="shared" si="3"/>
        <v/>
      </c>
      <c r="I18" s="29" t="str">
        <f>IF(ISNA($N18),"",VLOOKUP($B18,Reg!$M$3:$P$200,4,0))</f>
        <v/>
      </c>
      <c r="J18" s="46" t="str">
        <f t="shared" si="4"/>
        <v/>
      </c>
      <c r="K18" s="49" t="str">
        <f t="shared" si="5"/>
        <v/>
      </c>
      <c r="L18" s="27"/>
      <c r="M18" s="27"/>
      <c r="N18" s="24" t="e">
        <f>VLOOKUP(15,Reg!$D$2:$M$202,10,0)</f>
        <v>#N/A</v>
      </c>
      <c r="O18" s="25" t="e">
        <f>VLOOKUP($B18,Reg!$M$3:$Q$202,5,0)</f>
        <v>#N/A</v>
      </c>
      <c r="P18" s="25" t="e">
        <f t="shared" si="6"/>
        <v>#VALUE!</v>
      </c>
      <c r="Q18" s="47">
        <f t="shared" si="7"/>
        <v>1000</v>
      </c>
      <c r="R18" s="54">
        <v>15</v>
      </c>
    </row>
    <row r="19" spans="1:18" ht="15" customHeight="1" x14ac:dyDescent="0.2">
      <c r="A19" s="26" t="str">
        <f t="shared" si="0"/>
        <v/>
      </c>
      <c r="B19" s="29" t="str">
        <f t="shared" si="1"/>
        <v/>
      </c>
      <c r="C19" s="43" t="str">
        <f>IF(ISNA($N19),"",VLOOKUP($B19,Reg!$M$3:$N$202,2,0))</f>
        <v/>
      </c>
      <c r="D19" s="31" t="str">
        <f>IF(ISNA($N19),"",VLOOKUP($B19,Reg!$M$3:$O$202,3,0))</f>
        <v/>
      </c>
      <c r="E19" s="35"/>
      <c r="F19" s="41"/>
      <c r="G19" s="36" t="str">
        <f t="shared" si="2"/>
        <v/>
      </c>
      <c r="H19" s="38" t="str">
        <f t="shared" si="3"/>
        <v/>
      </c>
      <c r="I19" s="29" t="str">
        <f>IF(ISNA($N19),"",VLOOKUP($B19,Reg!$M$3:$P$200,4,0))</f>
        <v/>
      </c>
      <c r="J19" s="46" t="str">
        <f t="shared" si="4"/>
        <v/>
      </c>
      <c r="K19" s="49" t="str">
        <f t="shared" si="5"/>
        <v/>
      </c>
      <c r="L19" s="27"/>
      <c r="M19" s="27"/>
      <c r="N19" s="24" t="e">
        <f>VLOOKUP(16,Reg!$D$2:$M$202,10,0)</f>
        <v>#N/A</v>
      </c>
      <c r="O19" s="25" t="e">
        <f>VLOOKUP($B19,Reg!$M$3:$Q$202,5,0)</f>
        <v>#N/A</v>
      </c>
      <c r="P19" s="25" t="e">
        <f t="shared" si="6"/>
        <v>#VALUE!</v>
      </c>
      <c r="Q19" s="47">
        <f t="shared" si="7"/>
        <v>1000</v>
      </c>
      <c r="R19" s="54">
        <v>16</v>
      </c>
    </row>
    <row r="20" spans="1:18" ht="15" customHeight="1" x14ac:dyDescent="0.2">
      <c r="A20" s="26" t="str">
        <f t="shared" si="0"/>
        <v/>
      </c>
      <c r="B20" s="29" t="str">
        <f t="shared" si="1"/>
        <v/>
      </c>
      <c r="C20" s="43" t="str">
        <f>IF(ISNA($N20),"",VLOOKUP($B20,Reg!$M$3:$N$202,2,0))</f>
        <v/>
      </c>
      <c r="D20" s="31" t="str">
        <f>IF(ISNA($N20),"",VLOOKUP($B20,Reg!$M$3:$O$202,3,0))</f>
        <v/>
      </c>
      <c r="E20" s="35"/>
      <c r="F20" s="41"/>
      <c r="G20" s="36" t="str">
        <f t="shared" si="2"/>
        <v/>
      </c>
      <c r="H20" s="38" t="str">
        <f t="shared" si="3"/>
        <v/>
      </c>
      <c r="I20" s="29" t="str">
        <f>IF(ISNA($N20),"",VLOOKUP($B20,Reg!$M$3:$P$200,4,0))</f>
        <v/>
      </c>
      <c r="J20" s="46" t="str">
        <f t="shared" si="4"/>
        <v/>
      </c>
      <c r="K20" s="49" t="str">
        <f t="shared" si="5"/>
        <v/>
      </c>
      <c r="L20" s="27"/>
      <c r="M20" s="27"/>
      <c r="N20" s="24" t="e">
        <f>VLOOKUP(17,Reg!$D$2:$M$202,10,0)</f>
        <v>#N/A</v>
      </c>
      <c r="O20" s="25" t="e">
        <f>VLOOKUP($B20,Reg!$M$3:$Q$202,5,0)</f>
        <v>#N/A</v>
      </c>
      <c r="P20" s="25" t="e">
        <f t="shared" si="6"/>
        <v>#VALUE!</v>
      </c>
      <c r="Q20" s="47">
        <f t="shared" si="7"/>
        <v>1000</v>
      </c>
      <c r="R20" s="54">
        <v>17</v>
      </c>
    </row>
    <row r="21" spans="1:18" ht="15" customHeight="1" x14ac:dyDescent="0.2">
      <c r="A21" s="26" t="str">
        <f t="shared" si="0"/>
        <v/>
      </c>
      <c r="B21" s="29" t="str">
        <f t="shared" si="1"/>
        <v/>
      </c>
      <c r="C21" s="43" t="str">
        <f>IF(ISNA($N21),"",VLOOKUP($B21,Reg!$M$3:$N$202,2,0))</f>
        <v/>
      </c>
      <c r="D21" s="31" t="str">
        <f>IF(ISNA($N21),"",VLOOKUP($B21,Reg!$M$3:$O$202,3,0))</f>
        <v/>
      </c>
      <c r="E21" s="35"/>
      <c r="F21" s="41"/>
      <c r="G21" s="36" t="str">
        <f t="shared" si="2"/>
        <v/>
      </c>
      <c r="H21" s="38" t="str">
        <f t="shared" si="3"/>
        <v/>
      </c>
      <c r="I21" s="29" t="str">
        <f>IF(ISNA($N21),"",VLOOKUP($B21,Reg!$M$3:$P$200,4,0))</f>
        <v/>
      </c>
      <c r="J21" s="46" t="str">
        <f t="shared" si="4"/>
        <v/>
      </c>
      <c r="K21" s="49" t="str">
        <f t="shared" si="5"/>
        <v/>
      </c>
      <c r="L21" s="27"/>
      <c r="M21" s="27"/>
      <c r="N21" s="24" t="e">
        <f>VLOOKUP(18,Reg!$D$2:$M$202,10,0)</f>
        <v>#N/A</v>
      </c>
      <c r="O21" s="25" t="e">
        <f>VLOOKUP($B21,Reg!$M$3:$Q$202,5,0)</f>
        <v>#N/A</v>
      </c>
      <c r="P21" s="25" t="e">
        <f t="shared" si="6"/>
        <v>#VALUE!</v>
      </c>
      <c r="Q21" s="47">
        <f t="shared" si="7"/>
        <v>1000</v>
      </c>
      <c r="R21" s="54">
        <v>18</v>
      </c>
    </row>
    <row r="22" spans="1:18" ht="15" customHeight="1" x14ac:dyDescent="0.2">
      <c r="A22" s="26" t="str">
        <f t="shared" si="0"/>
        <v/>
      </c>
      <c r="B22" s="29" t="str">
        <f t="shared" si="1"/>
        <v/>
      </c>
      <c r="C22" s="43" t="str">
        <f>IF(ISNA($N22),"",VLOOKUP($B22,Reg!$M$3:$N$202,2,0))</f>
        <v/>
      </c>
      <c r="D22" s="31" t="str">
        <f>IF(ISNA($N22),"",VLOOKUP($B22,Reg!$M$3:$O$202,3,0))</f>
        <v/>
      </c>
      <c r="E22" s="35"/>
      <c r="F22" s="41"/>
      <c r="G22" s="36" t="str">
        <f t="shared" si="2"/>
        <v/>
      </c>
      <c r="H22" s="38" t="str">
        <f t="shared" si="3"/>
        <v/>
      </c>
      <c r="I22" s="29" t="str">
        <f>IF(ISNA($N22),"",VLOOKUP($B22,Reg!$M$3:$P$200,4,0))</f>
        <v/>
      </c>
      <c r="J22" s="46" t="str">
        <f t="shared" si="4"/>
        <v/>
      </c>
      <c r="K22" s="49" t="str">
        <f t="shared" si="5"/>
        <v/>
      </c>
      <c r="L22" s="24"/>
      <c r="M22" s="24"/>
      <c r="N22" s="24" t="e">
        <f>VLOOKUP(19,Reg!$D$2:$M$202,10,0)</f>
        <v>#N/A</v>
      </c>
      <c r="O22" s="25" t="e">
        <f>VLOOKUP($B22,Reg!$M$3:$Q$202,5,0)</f>
        <v>#N/A</v>
      </c>
      <c r="P22" s="25" t="e">
        <f t="shared" si="6"/>
        <v>#VALUE!</v>
      </c>
      <c r="Q22" s="47">
        <f t="shared" si="7"/>
        <v>1000</v>
      </c>
      <c r="R22" s="54">
        <v>19</v>
      </c>
    </row>
    <row r="23" spans="1:18" ht="15" customHeight="1" x14ac:dyDescent="0.2">
      <c r="A23" s="26" t="str">
        <f t="shared" si="0"/>
        <v/>
      </c>
      <c r="B23" s="29" t="str">
        <f t="shared" si="1"/>
        <v/>
      </c>
      <c r="C23" s="43" t="str">
        <f>IF(ISNA($N23),"",VLOOKUP($B23,Reg!$M$3:$N$202,2,0))</f>
        <v/>
      </c>
      <c r="D23" s="31" t="str">
        <f>IF(ISNA($N23),"",VLOOKUP($B23,Reg!$M$3:$O$202,3,0))</f>
        <v/>
      </c>
      <c r="E23" s="35"/>
      <c r="F23" s="41"/>
      <c r="G23" s="36" t="str">
        <f t="shared" si="2"/>
        <v/>
      </c>
      <c r="H23" s="38" t="str">
        <f t="shared" si="3"/>
        <v/>
      </c>
      <c r="I23" s="29" t="str">
        <f>IF(ISNA($N23),"",VLOOKUP($B23,Reg!$M$3:$P$200,4,0))</f>
        <v/>
      </c>
      <c r="J23" s="46" t="str">
        <f t="shared" si="4"/>
        <v/>
      </c>
      <c r="K23" s="49" t="str">
        <f t="shared" si="5"/>
        <v/>
      </c>
      <c r="L23" s="27"/>
      <c r="M23" s="27"/>
      <c r="N23" s="24" t="e">
        <f>VLOOKUP(20,Reg!$D$2:$M$202,10,0)</f>
        <v>#N/A</v>
      </c>
      <c r="O23" s="25" t="e">
        <f>VLOOKUP($B23,Reg!$M$3:$Q$202,5,0)</f>
        <v>#N/A</v>
      </c>
      <c r="P23" s="25" t="e">
        <f t="shared" si="6"/>
        <v>#VALUE!</v>
      </c>
      <c r="Q23" s="47">
        <f t="shared" si="7"/>
        <v>1000</v>
      </c>
      <c r="R23" s="54">
        <v>20</v>
      </c>
    </row>
    <row r="24" spans="1:18" ht="15" customHeight="1" x14ac:dyDescent="0.2">
      <c r="A24" s="26" t="str">
        <f t="shared" si="0"/>
        <v/>
      </c>
      <c r="B24" s="29" t="str">
        <f t="shared" si="1"/>
        <v/>
      </c>
      <c r="C24" s="43" t="str">
        <f>IF(ISNA($N24),"",VLOOKUP($B24,Reg!$M$3:$N$202,2,0))</f>
        <v/>
      </c>
      <c r="D24" s="31" t="str">
        <f>IF(ISNA($N24),"",VLOOKUP($B24,Reg!$M$3:$O$202,3,0))</f>
        <v/>
      </c>
      <c r="E24" s="35"/>
      <c r="F24" s="41"/>
      <c r="G24" s="36" t="str">
        <f t="shared" si="2"/>
        <v/>
      </c>
      <c r="H24" s="38" t="str">
        <f t="shared" si="3"/>
        <v/>
      </c>
      <c r="I24" s="29" t="str">
        <f>IF(ISNA($N24),"",VLOOKUP($B24,Reg!$M$3:$P$200,4,0))</f>
        <v/>
      </c>
      <c r="J24" s="46" t="str">
        <f t="shared" si="4"/>
        <v/>
      </c>
      <c r="K24" s="49" t="str">
        <f t="shared" si="5"/>
        <v/>
      </c>
      <c r="L24" s="27"/>
      <c r="M24" s="27"/>
      <c r="N24" s="24" t="e">
        <f>VLOOKUP(21,Reg!$D$2:$M$202,10,0)</f>
        <v>#N/A</v>
      </c>
      <c r="O24" s="25" t="e">
        <f>VLOOKUP($B24,Reg!$M$3:$Q$202,5,0)</f>
        <v>#N/A</v>
      </c>
      <c r="P24" s="25" t="e">
        <f t="shared" si="6"/>
        <v>#VALUE!</v>
      </c>
      <c r="Q24" s="47">
        <f t="shared" si="7"/>
        <v>1000</v>
      </c>
      <c r="R24" s="54">
        <v>21</v>
      </c>
    </row>
    <row r="25" spans="1:18" ht="15" customHeight="1" x14ac:dyDescent="0.2">
      <c r="A25" s="26" t="str">
        <f t="shared" si="0"/>
        <v/>
      </c>
      <c r="B25" s="29" t="str">
        <f t="shared" si="1"/>
        <v/>
      </c>
      <c r="C25" s="43" t="str">
        <f>IF(ISNA($N25),"",VLOOKUP($B25,Reg!$M$3:$N$202,2,0))</f>
        <v/>
      </c>
      <c r="D25" s="31" t="str">
        <f>IF(ISNA($N25),"",VLOOKUP($B25,Reg!$M$3:$O$202,3,0))</f>
        <v/>
      </c>
      <c r="E25" s="35"/>
      <c r="F25" s="41"/>
      <c r="G25" s="36" t="str">
        <f t="shared" si="2"/>
        <v/>
      </c>
      <c r="H25" s="38" t="str">
        <f t="shared" si="3"/>
        <v/>
      </c>
      <c r="I25" s="29" t="str">
        <f>IF(ISNA($N25),"",VLOOKUP($B25,Reg!$M$3:$P$200,4,0))</f>
        <v/>
      </c>
      <c r="J25" s="46" t="str">
        <f t="shared" si="4"/>
        <v/>
      </c>
      <c r="K25" s="49" t="str">
        <f t="shared" si="5"/>
        <v/>
      </c>
      <c r="L25" s="24"/>
      <c r="M25" s="24"/>
      <c r="N25" s="24" t="e">
        <f>VLOOKUP(22,Reg!$D$2:$M$202,10,0)</f>
        <v>#N/A</v>
      </c>
      <c r="O25" s="25" t="e">
        <f>VLOOKUP($B25,Reg!$M$3:$Q$202,5,0)</f>
        <v>#N/A</v>
      </c>
      <c r="P25" s="25" t="e">
        <f t="shared" si="6"/>
        <v>#VALUE!</v>
      </c>
      <c r="Q25" s="47">
        <f t="shared" si="7"/>
        <v>1000</v>
      </c>
      <c r="R25" s="54">
        <v>22</v>
      </c>
    </row>
    <row r="26" spans="1:18" ht="15" customHeight="1" x14ac:dyDescent="0.2">
      <c r="A26" s="26" t="str">
        <f t="shared" si="0"/>
        <v/>
      </c>
      <c r="B26" s="29" t="str">
        <f t="shared" si="1"/>
        <v/>
      </c>
      <c r="C26" s="43" t="str">
        <f>IF(ISNA($N26),"",VLOOKUP($B26,Reg!$M$3:$N$202,2,0))</f>
        <v/>
      </c>
      <c r="D26" s="31" t="str">
        <f>IF(ISNA($N26),"",VLOOKUP($B26,Reg!$M$3:$O$202,3,0))</f>
        <v/>
      </c>
      <c r="E26" s="35"/>
      <c r="F26" s="41"/>
      <c r="G26" s="36" t="str">
        <f t="shared" si="2"/>
        <v/>
      </c>
      <c r="H26" s="38" t="str">
        <f t="shared" si="3"/>
        <v/>
      </c>
      <c r="I26" s="29" t="str">
        <f>IF(ISNA($N26),"",VLOOKUP($B26,Reg!$M$3:$P$200,4,0))</f>
        <v/>
      </c>
      <c r="J26" s="46" t="str">
        <f t="shared" si="4"/>
        <v/>
      </c>
      <c r="K26" s="49" t="str">
        <f t="shared" si="5"/>
        <v/>
      </c>
      <c r="L26" s="24"/>
      <c r="M26" s="24"/>
      <c r="N26" s="24" t="e">
        <f>VLOOKUP(23,Reg!$D$2:$M$202,10,0)</f>
        <v>#N/A</v>
      </c>
      <c r="O26" s="25" t="e">
        <f>VLOOKUP($B26,Reg!$M$3:$Q$202,5,0)</f>
        <v>#N/A</v>
      </c>
      <c r="P26" s="25" t="e">
        <f t="shared" si="6"/>
        <v>#VALUE!</v>
      </c>
      <c r="Q26" s="47">
        <f t="shared" si="7"/>
        <v>1000</v>
      </c>
      <c r="R26" s="54">
        <v>23</v>
      </c>
    </row>
    <row r="27" spans="1:18" ht="15" customHeight="1" x14ac:dyDescent="0.2">
      <c r="A27" s="26" t="str">
        <f t="shared" si="0"/>
        <v/>
      </c>
      <c r="B27" s="29" t="str">
        <f t="shared" si="1"/>
        <v/>
      </c>
      <c r="C27" s="43" t="str">
        <f>IF(ISNA($N27),"",VLOOKUP($B27,Reg!$M$3:$N$202,2,0))</f>
        <v/>
      </c>
      <c r="D27" s="31" t="str">
        <f>IF(ISNA($N27),"",VLOOKUP($B27,Reg!$M$3:$O$202,3,0))</f>
        <v/>
      </c>
      <c r="E27" s="35"/>
      <c r="F27" s="41"/>
      <c r="G27" s="36" t="str">
        <f t="shared" si="2"/>
        <v/>
      </c>
      <c r="H27" s="38" t="str">
        <f t="shared" si="3"/>
        <v/>
      </c>
      <c r="I27" s="29" t="str">
        <f>IF(ISNA($N27),"",VLOOKUP($B27,Reg!$M$3:$P$200,4,0))</f>
        <v/>
      </c>
      <c r="J27" s="46" t="str">
        <f t="shared" si="4"/>
        <v/>
      </c>
      <c r="K27" s="49" t="str">
        <f t="shared" si="5"/>
        <v/>
      </c>
      <c r="L27" s="24"/>
      <c r="M27" s="24"/>
      <c r="N27" s="24" t="e">
        <f>VLOOKUP(24,Reg!$D$2:$M$202,10,0)</f>
        <v>#N/A</v>
      </c>
      <c r="O27" s="25" t="e">
        <f>VLOOKUP($B27,Reg!$M$3:$Q$202,5,0)</f>
        <v>#N/A</v>
      </c>
      <c r="P27" s="25" t="e">
        <f t="shared" si="6"/>
        <v>#VALUE!</v>
      </c>
      <c r="Q27" s="47">
        <f t="shared" si="7"/>
        <v>1000</v>
      </c>
      <c r="R27" s="54">
        <v>24</v>
      </c>
    </row>
    <row r="28" spans="1:18" ht="15" customHeight="1" x14ac:dyDescent="0.2">
      <c r="A28" s="26" t="str">
        <f t="shared" si="0"/>
        <v/>
      </c>
      <c r="B28" s="29" t="str">
        <f t="shared" si="1"/>
        <v/>
      </c>
      <c r="C28" s="43" t="str">
        <f>IF(ISNA($N28),"",VLOOKUP($B28,Reg!$M$3:$N$202,2,0))</f>
        <v/>
      </c>
      <c r="D28" s="31" t="str">
        <f>IF(ISNA($N28),"",VLOOKUP($B28,Reg!$M$3:$O$202,3,0))</f>
        <v/>
      </c>
      <c r="E28" s="35"/>
      <c r="F28" s="41"/>
      <c r="G28" s="36" t="str">
        <f t="shared" si="2"/>
        <v/>
      </c>
      <c r="H28" s="38" t="str">
        <f t="shared" si="3"/>
        <v/>
      </c>
      <c r="I28" s="29" t="str">
        <f>IF(ISNA($N28),"",VLOOKUP($B28,Reg!$M$3:$P$200,4,0))</f>
        <v/>
      </c>
      <c r="J28" s="46" t="str">
        <f t="shared" si="4"/>
        <v/>
      </c>
      <c r="K28" s="49" t="str">
        <f t="shared" si="5"/>
        <v/>
      </c>
      <c r="L28" s="27"/>
      <c r="M28" s="27"/>
      <c r="N28" s="24" t="e">
        <f>VLOOKUP(25,Reg!$D$2:$M$202,10,0)</f>
        <v>#N/A</v>
      </c>
      <c r="O28" s="25" t="e">
        <f>VLOOKUP($B28,Reg!$M$3:$Q$202,5,0)</f>
        <v>#N/A</v>
      </c>
      <c r="P28" s="25" t="e">
        <f t="shared" si="6"/>
        <v>#VALUE!</v>
      </c>
      <c r="Q28" s="47">
        <f t="shared" si="7"/>
        <v>1000</v>
      </c>
      <c r="R28" s="54">
        <v>25</v>
      </c>
    </row>
    <row r="29" spans="1:18" ht="15" customHeight="1" x14ac:dyDescent="0.2">
      <c r="A29" s="26" t="str">
        <f t="shared" ref="A29:A42" si="8">IF($B29="","",ROW()-3)</f>
        <v/>
      </c>
      <c r="B29" s="29" t="str">
        <f t="shared" ref="B29:B42" si="9">IF(ISNA($N29),"",$N29)</f>
        <v/>
      </c>
      <c r="C29" s="43" t="str">
        <f>IF(ISNA($N29),"",VLOOKUP($B29,Reg!$M$3:$N$202,2,0))</f>
        <v/>
      </c>
      <c r="D29" s="31" t="str">
        <f>IF(ISNA($N29),"",VLOOKUP($B29,Reg!$M$3:$O$202,3,0))</f>
        <v/>
      </c>
      <c r="E29" s="35"/>
      <c r="F29" s="41"/>
      <c r="G29" s="36" t="str">
        <f t="shared" ref="G29:G42" si="10">IF(ISBLANK($E29),"",IF(ISBLANK($F29),0,$F29*2))</f>
        <v/>
      </c>
      <c r="H29" s="38" t="str">
        <f t="shared" ref="H29:H42" si="11">IF(ISBLANK($E29),"",TEXT($P29,"###")&amp;IF($P29=0,""," мин ")&amp;TEXT($E29+$G29-$P29*60,"###,###")&amp;" с")</f>
        <v/>
      </c>
      <c r="I29" s="29" t="str">
        <f>IF(ISNA($N29),"",VLOOKUP($B29,Reg!$M$3:$P$200,4,0))</f>
        <v/>
      </c>
      <c r="J29" s="46" t="str">
        <f t="shared" si="4"/>
        <v/>
      </c>
      <c r="K29" s="49" t="str">
        <f t="shared" ref="K29:K42" si="12">IF($E29&gt;0,RANK($Q29,$Q$4:$Q$50,1),"")</f>
        <v/>
      </c>
      <c r="L29" s="27"/>
      <c r="M29" s="27"/>
      <c r="N29" s="24" t="e">
        <f>VLOOKUP(26,Reg!$D$2:$M$202,10,0)</f>
        <v>#N/A</v>
      </c>
      <c r="O29" s="25" t="e">
        <f>VLOOKUP($B29,Reg!$M$3:$Q$202,5,0)</f>
        <v>#N/A</v>
      </c>
      <c r="P29" s="25" t="e">
        <f t="shared" ref="P29:P42" si="13">INT((E29+G29)/60)</f>
        <v>#VALUE!</v>
      </c>
      <c r="Q29" s="47">
        <f t="shared" ref="Q29:Q42" si="14">IF($E29&gt;0,$E29+$G29,1000)</f>
        <v>1000</v>
      </c>
      <c r="R29" s="54">
        <v>26</v>
      </c>
    </row>
    <row r="30" spans="1:18" ht="15" customHeight="1" x14ac:dyDescent="0.2">
      <c r="A30" s="26" t="str">
        <f t="shared" si="8"/>
        <v/>
      </c>
      <c r="B30" s="29" t="str">
        <f t="shared" si="9"/>
        <v/>
      </c>
      <c r="C30" s="43" t="str">
        <f>IF(ISNA($N30),"",VLOOKUP($B30,Reg!$M$3:$N$202,2,0))</f>
        <v/>
      </c>
      <c r="D30" s="31" t="str">
        <f>IF(ISNA($N30),"",VLOOKUP($B30,Reg!$M$3:$O$202,3,0))</f>
        <v/>
      </c>
      <c r="E30" s="35"/>
      <c r="F30" s="41"/>
      <c r="G30" s="36" t="str">
        <f t="shared" si="10"/>
        <v/>
      </c>
      <c r="H30" s="38" t="str">
        <f t="shared" si="11"/>
        <v/>
      </c>
      <c r="I30" s="29" t="str">
        <f>IF(ISNA($N30),"",VLOOKUP($B30,Reg!$M$3:$P$200,4,0))</f>
        <v/>
      </c>
      <c r="J30" s="46" t="str">
        <f t="shared" si="4"/>
        <v/>
      </c>
      <c r="K30" s="49" t="str">
        <f t="shared" si="12"/>
        <v/>
      </c>
      <c r="L30" s="27"/>
      <c r="M30" s="27"/>
      <c r="N30" s="24" t="e">
        <f>VLOOKUP(27,Reg!$D$2:$M$202,10,0)</f>
        <v>#N/A</v>
      </c>
      <c r="O30" s="25" t="e">
        <f>VLOOKUP($B30,Reg!$M$3:$Q$202,5,0)</f>
        <v>#N/A</v>
      </c>
      <c r="P30" s="25" t="e">
        <f t="shared" si="13"/>
        <v>#VALUE!</v>
      </c>
      <c r="Q30" s="47">
        <f t="shared" si="14"/>
        <v>1000</v>
      </c>
      <c r="R30" s="54">
        <v>27</v>
      </c>
    </row>
    <row r="31" spans="1:18" ht="15" customHeight="1" x14ac:dyDescent="0.2">
      <c r="A31" s="26" t="str">
        <f t="shared" si="8"/>
        <v/>
      </c>
      <c r="B31" s="29" t="str">
        <f t="shared" si="9"/>
        <v/>
      </c>
      <c r="C31" s="43" t="str">
        <f>IF(ISNA($N31),"",VLOOKUP($B31,Reg!$M$3:$N$202,2,0))</f>
        <v/>
      </c>
      <c r="D31" s="31" t="str">
        <f>IF(ISNA($N31),"",VLOOKUP($B31,Reg!$M$3:$O$202,3,0))</f>
        <v/>
      </c>
      <c r="E31" s="35"/>
      <c r="F31" s="41"/>
      <c r="G31" s="36" t="str">
        <f t="shared" si="10"/>
        <v/>
      </c>
      <c r="H31" s="38" t="str">
        <f t="shared" si="11"/>
        <v/>
      </c>
      <c r="I31" s="29" t="str">
        <f>IF(ISNA($N31),"",VLOOKUP($B31,Reg!$M$3:$P$200,4,0))</f>
        <v/>
      </c>
      <c r="J31" s="46" t="str">
        <f t="shared" ref="J31:J53" si="15">IF(ISNA($O31),"",IF($O31=0,"",$O31))</f>
        <v/>
      </c>
      <c r="K31" s="49" t="str">
        <f t="shared" si="12"/>
        <v/>
      </c>
      <c r="L31" s="27"/>
      <c r="M31" s="27"/>
      <c r="N31" s="24" t="e">
        <f>VLOOKUP(28,Reg!$D$2:$M$202,10,0)</f>
        <v>#N/A</v>
      </c>
      <c r="O31" s="25" t="e">
        <f>VLOOKUP($B31,Reg!$M$3:$Q$202,5,0)</f>
        <v>#N/A</v>
      </c>
      <c r="P31" s="25" t="e">
        <f t="shared" si="13"/>
        <v>#VALUE!</v>
      </c>
      <c r="Q31" s="47">
        <f t="shared" si="14"/>
        <v>1000</v>
      </c>
      <c r="R31" s="54">
        <v>28</v>
      </c>
    </row>
    <row r="32" spans="1:18" ht="15" customHeight="1" x14ac:dyDescent="0.2">
      <c r="A32" s="26" t="str">
        <f t="shared" si="8"/>
        <v/>
      </c>
      <c r="B32" s="29" t="str">
        <f t="shared" si="9"/>
        <v/>
      </c>
      <c r="C32" s="43" t="str">
        <f>IF(ISNA($N32),"",VLOOKUP($B32,Reg!$M$3:$N$202,2,0))</f>
        <v/>
      </c>
      <c r="D32" s="31" t="str">
        <f>IF(ISNA($N32),"",VLOOKUP($B32,Reg!$M$3:$O$202,3,0))</f>
        <v/>
      </c>
      <c r="E32" s="35"/>
      <c r="F32" s="41"/>
      <c r="G32" s="36" t="str">
        <f t="shared" si="10"/>
        <v/>
      </c>
      <c r="H32" s="38" t="str">
        <f t="shared" si="11"/>
        <v/>
      </c>
      <c r="I32" s="29" t="str">
        <f>IF(ISNA($N32),"",VLOOKUP($B32,Reg!$M$3:$P$200,4,0))</f>
        <v/>
      </c>
      <c r="J32" s="46" t="str">
        <f t="shared" si="15"/>
        <v/>
      </c>
      <c r="K32" s="49" t="str">
        <f t="shared" si="12"/>
        <v/>
      </c>
      <c r="L32" s="27"/>
      <c r="M32" s="27"/>
      <c r="N32" s="24" t="e">
        <f>VLOOKUP(29,Reg!$D$2:$M$202,10,0)</f>
        <v>#N/A</v>
      </c>
      <c r="O32" s="25" t="e">
        <f>VLOOKUP($B32,Reg!$M$3:$Q$202,5,0)</f>
        <v>#N/A</v>
      </c>
      <c r="P32" s="25" t="e">
        <f t="shared" si="13"/>
        <v>#VALUE!</v>
      </c>
      <c r="Q32" s="47">
        <f t="shared" si="14"/>
        <v>1000</v>
      </c>
      <c r="R32" s="54">
        <v>29</v>
      </c>
    </row>
    <row r="33" spans="1:18" ht="15" customHeight="1" x14ac:dyDescent="0.2">
      <c r="A33" s="26" t="str">
        <f t="shared" si="8"/>
        <v/>
      </c>
      <c r="B33" s="29" t="str">
        <f t="shared" si="9"/>
        <v/>
      </c>
      <c r="C33" s="43" t="str">
        <f>IF(ISNA($N33),"",VLOOKUP($B33,Reg!$M$3:$N$202,2,0))</f>
        <v/>
      </c>
      <c r="D33" s="31" t="str">
        <f>IF(ISNA($N33),"",VLOOKUP($B33,Reg!$M$3:$O$202,3,0))</f>
        <v/>
      </c>
      <c r="E33" s="35"/>
      <c r="F33" s="41"/>
      <c r="G33" s="36" t="str">
        <f t="shared" si="10"/>
        <v/>
      </c>
      <c r="H33" s="38" t="str">
        <f t="shared" si="11"/>
        <v/>
      </c>
      <c r="I33" s="29" t="str">
        <f>IF(ISNA($N33),"",VLOOKUP($B33,Reg!$M$3:$P$200,4,0))</f>
        <v/>
      </c>
      <c r="J33" s="46" t="str">
        <f t="shared" si="15"/>
        <v/>
      </c>
      <c r="K33" s="49" t="str">
        <f t="shared" si="12"/>
        <v/>
      </c>
      <c r="L33" s="27"/>
      <c r="M33" s="27"/>
      <c r="N33" s="24" t="e">
        <f>VLOOKUP(30,Reg!$D$2:$M$202,10,0)</f>
        <v>#N/A</v>
      </c>
      <c r="O33" s="25" t="e">
        <f>VLOOKUP($B33,Reg!$M$3:$Q$202,5,0)</f>
        <v>#N/A</v>
      </c>
      <c r="P33" s="25" t="e">
        <f t="shared" si="13"/>
        <v>#VALUE!</v>
      </c>
      <c r="Q33" s="47">
        <f t="shared" si="14"/>
        <v>1000</v>
      </c>
      <c r="R33" s="54">
        <v>30</v>
      </c>
    </row>
    <row r="34" spans="1:18" ht="15" customHeight="1" x14ac:dyDescent="0.2">
      <c r="A34" s="26" t="str">
        <f t="shared" si="8"/>
        <v/>
      </c>
      <c r="B34" s="29" t="str">
        <f t="shared" si="9"/>
        <v/>
      </c>
      <c r="C34" s="43" t="str">
        <f>IF(ISNA($N34),"",VLOOKUP($B34,Reg!$M$3:$N$202,2,0))</f>
        <v/>
      </c>
      <c r="D34" s="31" t="str">
        <f>IF(ISNA($N34),"",VLOOKUP($B34,Reg!$M$3:$O$202,3,0))</f>
        <v/>
      </c>
      <c r="E34" s="35"/>
      <c r="F34" s="41"/>
      <c r="G34" s="36" t="str">
        <f t="shared" si="10"/>
        <v/>
      </c>
      <c r="H34" s="38" t="str">
        <f t="shared" si="11"/>
        <v/>
      </c>
      <c r="I34" s="29" t="str">
        <f>IF(ISNA($N34),"",VLOOKUP($B34,Reg!$M$3:$P$200,4,0))</f>
        <v/>
      </c>
      <c r="J34" s="46" t="str">
        <f t="shared" si="15"/>
        <v/>
      </c>
      <c r="K34" s="49" t="str">
        <f t="shared" si="12"/>
        <v/>
      </c>
      <c r="L34" s="27"/>
      <c r="M34" s="27"/>
      <c r="N34" s="24" t="e">
        <f>VLOOKUP(31,Reg!$D$2:$M$202,10,0)</f>
        <v>#N/A</v>
      </c>
      <c r="O34" s="25" t="e">
        <f>VLOOKUP($B34,Reg!$M$3:$Q$202,5,0)</f>
        <v>#N/A</v>
      </c>
      <c r="P34" s="25" t="e">
        <f t="shared" si="13"/>
        <v>#VALUE!</v>
      </c>
      <c r="Q34" s="47">
        <f t="shared" si="14"/>
        <v>1000</v>
      </c>
      <c r="R34" s="54">
        <v>31</v>
      </c>
    </row>
    <row r="35" spans="1:18" ht="15" customHeight="1" x14ac:dyDescent="0.2">
      <c r="A35" s="26" t="str">
        <f t="shared" si="8"/>
        <v/>
      </c>
      <c r="B35" s="29" t="str">
        <f t="shared" si="9"/>
        <v/>
      </c>
      <c r="C35" s="43" t="str">
        <f>IF(ISNA($N35),"",VLOOKUP($B35,Reg!$M$3:$N$202,2,0))</f>
        <v/>
      </c>
      <c r="D35" s="31" t="str">
        <f>IF(ISNA($N35),"",VLOOKUP($B35,Reg!$M$3:$O$202,3,0))</f>
        <v/>
      </c>
      <c r="E35" s="35"/>
      <c r="F35" s="41"/>
      <c r="G35" s="36" t="str">
        <f t="shared" si="10"/>
        <v/>
      </c>
      <c r="H35" s="38" t="str">
        <f t="shared" si="11"/>
        <v/>
      </c>
      <c r="I35" s="29" t="str">
        <f>IF(ISNA($N35),"",VLOOKUP($B35,Reg!$M$3:$P$200,4,0))</f>
        <v/>
      </c>
      <c r="J35" s="46" t="str">
        <f t="shared" si="15"/>
        <v/>
      </c>
      <c r="K35" s="49" t="str">
        <f t="shared" si="12"/>
        <v/>
      </c>
      <c r="L35" s="27"/>
      <c r="M35" s="27"/>
      <c r="N35" s="24" t="e">
        <f>VLOOKUP(32,Reg!$D$2:$M$202,10,0)</f>
        <v>#N/A</v>
      </c>
      <c r="O35" s="25" t="e">
        <f>VLOOKUP($B35,Reg!$M$3:$Q$202,5,0)</f>
        <v>#N/A</v>
      </c>
      <c r="P35" s="25" t="e">
        <f t="shared" si="13"/>
        <v>#VALUE!</v>
      </c>
      <c r="Q35" s="47">
        <f t="shared" si="14"/>
        <v>1000</v>
      </c>
      <c r="R35" s="54">
        <v>32</v>
      </c>
    </row>
    <row r="36" spans="1:18" x14ac:dyDescent="0.2">
      <c r="A36" s="26" t="str">
        <f t="shared" si="8"/>
        <v/>
      </c>
      <c r="B36" s="29" t="str">
        <f t="shared" si="9"/>
        <v/>
      </c>
      <c r="C36" s="43" t="str">
        <f>IF(ISNA($N36),"",VLOOKUP($B36,Reg!$M$3:$N$202,2,0))</f>
        <v/>
      </c>
      <c r="D36" s="31" t="str">
        <f>IF(ISNA($N36),"",VLOOKUP($B36,Reg!$M$3:$O$202,3,0))</f>
        <v/>
      </c>
      <c r="E36" s="35"/>
      <c r="F36" s="41"/>
      <c r="G36" s="36" t="str">
        <f t="shared" si="10"/>
        <v/>
      </c>
      <c r="H36" s="38" t="str">
        <f t="shared" si="11"/>
        <v/>
      </c>
      <c r="I36" s="29" t="str">
        <f>IF(ISNA($N36),"",VLOOKUP($B36,Reg!$M$3:$P$200,4,0))</f>
        <v/>
      </c>
      <c r="J36" s="46" t="str">
        <f t="shared" si="15"/>
        <v/>
      </c>
      <c r="K36" s="49" t="str">
        <f t="shared" si="12"/>
        <v/>
      </c>
      <c r="L36" s="27"/>
      <c r="M36" s="27"/>
      <c r="N36" s="24" t="e">
        <f>VLOOKUP(33,Reg!$D$2:$M$202,10,0)</f>
        <v>#N/A</v>
      </c>
      <c r="O36" s="25" t="e">
        <f>VLOOKUP($B36,Reg!$M$3:$Q$202,5,0)</f>
        <v>#N/A</v>
      </c>
      <c r="P36" s="25" t="e">
        <f t="shared" si="13"/>
        <v>#VALUE!</v>
      </c>
      <c r="Q36" s="47">
        <f t="shared" si="14"/>
        <v>1000</v>
      </c>
      <c r="R36" s="54">
        <v>33</v>
      </c>
    </row>
    <row r="37" spans="1:18" x14ac:dyDescent="0.2">
      <c r="A37" s="26" t="str">
        <f t="shared" si="8"/>
        <v/>
      </c>
      <c r="B37" s="29" t="str">
        <f t="shared" si="9"/>
        <v/>
      </c>
      <c r="C37" s="43" t="str">
        <f>IF(ISNA($N37),"",VLOOKUP($B37,Reg!$M$3:$N$202,2,0))</f>
        <v/>
      </c>
      <c r="D37" s="31" t="str">
        <f>IF(ISNA($N37),"",VLOOKUP($B37,Reg!$M$3:$O$202,3,0))</f>
        <v/>
      </c>
      <c r="E37" s="35"/>
      <c r="F37" s="41"/>
      <c r="G37" s="36" t="str">
        <f t="shared" si="10"/>
        <v/>
      </c>
      <c r="H37" s="38" t="str">
        <f t="shared" si="11"/>
        <v/>
      </c>
      <c r="I37" s="29" t="str">
        <f>IF(ISNA($N37),"",VLOOKUP($B37,Reg!$M$3:$P$200,4,0))</f>
        <v/>
      </c>
      <c r="J37" s="46" t="str">
        <f t="shared" si="15"/>
        <v/>
      </c>
      <c r="K37" s="49" t="str">
        <f t="shared" si="12"/>
        <v/>
      </c>
      <c r="L37" s="27"/>
      <c r="M37" s="27"/>
      <c r="N37" s="24" t="e">
        <f>VLOOKUP(34,Reg!$D$2:$M$202,10,0)</f>
        <v>#N/A</v>
      </c>
      <c r="O37" s="25" t="e">
        <f>VLOOKUP($B37,Reg!$M$3:$Q$202,5,0)</f>
        <v>#N/A</v>
      </c>
      <c r="P37" s="25" t="e">
        <f t="shared" si="13"/>
        <v>#VALUE!</v>
      </c>
      <c r="Q37" s="47">
        <f t="shared" si="14"/>
        <v>1000</v>
      </c>
      <c r="R37" s="54">
        <v>34</v>
      </c>
    </row>
    <row r="38" spans="1:18" x14ac:dyDescent="0.2">
      <c r="A38" s="26" t="str">
        <f t="shared" si="8"/>
        <v/>
      </c>
      <c r="B38" s="29" t="str">
        <f t="shared" si="9"/>
        <v/>
      </c>
      <c r="C38" s="43" t="str">
        <f>IF(ISNA($N38),"",VLOOKUP($B38,Reg!$M$3:$N$202,2,0))</f>
        <v/>
      </c>
      <c r="D38" s="31" t="str">
        <f>IF(ISNA($N38),"",VLOOKUP($B38,Reg!$M$3:$O$202,3,0))</f>
        <v/>
      </c>
      <c r="E38" s="35"/>
      <c r="F38" s="41"/>
      <c r="G38" s="36" t="str">
        <f t="shared" si="10"/>
        <v/>
      </c>
      <c r="H38" s="38" t="str">
        <f t="shared" si="11"/>
        <v/>
      </c>
      <c r="I38" s="29" t="str">
        <f>IF(ISNA($N38),"",VLOOKUP($B38,Reg!$M$3:$P$200,4,0))</f>
        <v/>
      </c>
      <c r="J38" s="46" t="str">
        <f t="shared" si="15"/>
        <v/>
      </c>
      <c r="K38" s="49" t="str">
        <f t="shared" si="12"/>
        <v/>
      </c>
      <c r="L38" s="27"/>
      <c r="M38" s="27"/>
      <c r="N38" s="24" t="e">
        <f>VLOOKUP(35,Reg!$D$2:$M$202,10,0)</f>
        <v>#N/A</v>
      </c>
      <c r="O38" s="25" t="e">
        <f>VLOOKUP($B38,Reg!$M$3:$Q$202,5,0)</f>
        <v>#N/A</v>
      </c>
      <c r="P38" s="25" t="e">
        <f t="shared" si="13"/>
        <v>#VALUE!</v>
      </c>
      <c r="Q38" s="47">
        <f t="shared" si="14"/>
        <v>1000</v>
      </c>
      <c r="R38" s="54">
        <v>35</v>
      </c>
    </row>
    <row r="39" spans="1:18" x14ac:dyDescent="0.2">
      <c r="A39" s="26" t="str">
        <f t="shared" si="8"/>
        <v/>
      </c>
      <c r="B39" s="29" t="str">
        <f t="shared" si="9"/>
        <v/>
      </c>
      <c r="C39" s="43" t="str">
        <f>IF(ISNA($N39),"",VLOOKUP($B39,Reg!$M$3:$N$202,2,0))</f>
        <v/>
      </c>
      <c r="D39" s="31" t="str">
        <f>IF(ISNA($N39),"",VLOOKUP($B39,Reg!$M$3:$O$202,3,0))</f>
        <v/>
      </c>
      <c r="E39" s="35"/>
      <c r="F39" s="41"/>
      <c r="G39" s="36" t="str">
        <f t="shared" si="10"/>
        <v/>
      </c>
      <c r="H39" s="38" t="str">
        <f t="shared" si="11"/>
        <v/>
      </c>
      <c r="I39" s="29" t="str">
        <f>IF(ISNA($N39),"",VLOOKUP($B39,Reg!$M$3:$P$200,4,0))</f>
        <v/>
      </c>
      <c r="J39" s="46" t="str">
        <f t="shared" si="15"/>
        <v/>
      </c>
      <c r="K39" s="49" t="str">
        <f t="shared" si="12"/>
        <v/>
      </c>
      <c r="L39" s="27"/>
      <c r="M39" s="27"/>
      <c r="N39" s="24" t="e">
        <f>VLOOKUP(36,Reg!$D$2:$M$202,10,0)</f>
        <v>#N/A</v>
      </c>
      <c r="O39" s="25" t="e">
        <f>VLOOKUP($B39,Reg!$M$3:$Q$202,5,0)</f>
        <v>#N/A</v>
      </c>
      <c r="P39" s="25" t="e">
        <f t="shared" si="13"/>
        <v>#VALUE!</v>
      </c>
      <c r="Q39" s="47">
        <f t="shared" si="14"/>
        <v>1000</v>
      </c>
      <c r="R39" s="54">
        <v>36</v>
      </c>
    </row>
    <row r="40" spans="1:18" x14ac:dyDescent="0.2">
      <c r="A40" s="26" t="str">
        <f t="shared" si="8"/>
        <v/>
      </c>
      <c r="B40" s="29" t="str">
        <f t="shared" si="9"/>
        <v/>
      </c>
      <c r="C40" s="43" t="str">
        <f>IF(ISNA($N40),"",VLOOKUP($B40,Reg!$M$3:$N$202,2,0))</f>
        <v/>
      </c>
      <c r="D40" s="31" t="str">
        <f>IF(ISNA($N40),"",VLOOKUP($B40,Reg!$M$3:$O$202,3,0))</f>
        <v/>
      </c>
      <c r="E40" s="35"/>
      <c r="F40" s="41"/>
      <c r="G40" s="36" t="str">
        <f t="shared" si="10"/>
        <v/>
      </c>
      <c r="H40" s="38" t="str">
        <f t="shared" si="11"/>
        <v/>
      </c>
      <c r="I40" s="29" t="str">
        <f>IF(ISNA($N40),"",VLOOKUP($B40,Reg!$M$3:$P$200,4,0))</f>
        <v/>
      </c>
      <c r="J40" s="46" t="str">
        <f t="shared" si="15"/>
        <v/>
      </c>
      <c r="K40" s="49" t="str">
        <f t="shared" si="12"/>
        <v/>
      </c>
      <c r="L40" s="27"/>
      <c r="M40" s="27"/>
      <c r="N40" s="24" t="e">
        <f>VLOOKUP(37,Reg!$D$2:$M$202,10,0)</f>
        <v>#N/A</v>
      </c>
      <c r="O40" s="25" t="e">
        <f>VLOOKUP($B40,Reg!$M$3:$Q$202,5,0)</f>
        <v>#N/A</v>
      </c>
      <c r="P40" s="25" t="e">
        <f t="shared" si="13"/>
        <v>#VALUE!</v>
      </c>
      <c r="Q40" s="47">
        <f t="shared" si="14"/>
        <v>1000</v>
      </c>
      <c r="R40" s="54">
        <v>37</v>
      </c>
    </row>
    <row r="41" spans="1:18" x14ac:dyDescent="0.2">
      <c r="A41" s="26" t="str">
        <f t="shared" si="8"/>
        <v/>
      </c>
      <c r="B41" s="29" t="str">
        <f t="shared" si="9"/>
        <v/>
      </c>
      <c r="C41" s="43" t="str">
        <f>IF(ISNA($N41),"",VLOOKUP($B41,Reg!$M$3:$N$202,2,0))</f>
        <v/>
      </c>
      <c r="D41" s="31" t="str">
        <f>IF(ISNA($N41),"",VLOOKUP($B41,Reg!$M$3:$O$202,3,0))</f>
        <v/>
      </c>
      <c r="E41" s="35"/>
      <c r="F41" s="41"/>
      <c r="G41" s="36" t="str">
        <f t="shared" si="10"/>
        <v/>
      </c>
      <c r="H41" s="38" t="str">
        <f t="shared" si="11"/>
        <v/>
      </c>
      <c r="I41" s="29" t="str">
        <f>IF(ISNA($N41),"",VLOOKUP($B41,Reg!$M$3:$P$200,4,0))</f>
        <v/>
      </c>
      <c r="J41" s="46" t="str">
        <f t="shared" si="15"/>
        <v/>
      </c>
      <c r="K41" s="49" t="str">
        <f t="shared" si="12"/>
        <v/>
      </c>
      <c r="L41" s="27"/>
      <c r="M41" s="27"/>
      <c r="N41" s="24" t="e">
        <f>VLOOKUP(38,Reg!$D$2:$M$202,10,0)</f>
        <v>#N/A</v>
      </c>
      <c r="O41" s="25" t="e">
        <f>VLOOKUP($B41,Reg!$M$3:$Q$202,5,0)</f>
        <v>#N/A</v>
      </c>
      <c r="P41" s="25" t="e">
        <f t="shared" si="13"/>
        <v>#VALUE!</v>
      </c>
      <c r="Q41" s="47">
        <f t="shared" si="14"/>
        <v>1000</v>
      </c>
      <c r="R41" s="54">
        <v>38</v>
      </c>
    </row>
    <row r="42" spans="1:18" x14ac:dyDescent="0.2">
      <c r="A42" s="26" t="str">
        <f t="shared" si="8"/>
        <v/>
      </c>
      <c r="B42" s="29" t="str">
        <f t="shared" si="9"/>
        <v/>
      </c>
      <c r="C42" s="43" t="str">
        <f>IF(ISNA($N42),"",VLOOKUP($B42,Reg!$M$3:$N$202,2,0))</f>
        <v/>
      </c>
      <c r="D42" s="31" t="str">
        <f>IF(ISNA($N42),"",VLOOKUP($B42,Reg!$M$3:$O$202,3,0))</f>
        <v/>
      </c>
      <c r="E42" s="35"/>
      <c r="F42" s="41"/>
      <c r="G42" s="36" t="str">
        <f t="shared" si="10"/>
        <v/>
      </c>
      <c r="H42" s="38" t="str">
        <f t="shared" si="11"/>
        <v/>
      </c>
      <c r="I42" s="29" t="str">
        <f>IF(ISNA($N42),"",VLOOKUP($B42,Reg!$M$3:$P$200,4,0))</f>
        <v/>
      </c>
      <c r="J42" s="46" t="str">
        <f t="shared" si="15"/>
        <v/>
      </c>
      <c r="K42" s="49" t="str">
        <f t="shared" si="12"/>
        <v/>
      </c>
      <c r="L42" s="27"/>
      <c r="M42" s="27"/>
      <c r="N42" s="24" t="e">
        <f>VLOOKUP(39,Reg!$D$2:$M$202,10,0)</f>
        <v>#N/A</v>
      </c>
      <c r="O42" s="25" t="e">
        <f>VLOOKUP($B42,Reg!$M$3:$Q$202,5,0)</f>
        <v>#N/A</v>
      </c>
      <c r="P42" s="25" t="e">
        <f t="shared" si="13"/>
        <v>#VALUE!</v>
      </c>
      <c r="Q42" s="47">
        <f t="shared" si="14"/>
        <v>1000</v>
      </c>
      <c r="R42" s="54">
        <v>39</v>
      </c>
    </row>
    <row r="43" spans="1:18" x14ac:dyDescent="0.2">
      <c r="A43" s="26" t="str">
        <f t="shared" ref="A43:A53" si="16">IF($B43="","",ROW()-3)</f>
        <v/>
      </c>
      <c r="B43" s="29" t="str">
        <f t="shared" ref="B43:B53" si="17">IF(ISNA($N43),"",$N43)</f>
        <v/>
      </c>
      <c r="C43" s="43" t="str">
        <f>IF(ISNA($N43),"",VLOOKUP($B43,Reg!$M$3:$N$202,2,0))</f>
        <v/>
      </c>
      <c r="D43" s="31" t="str">
        <f>IF(ISNA($N43),"",VLOOKUP($B43,Reg!$M$3:$O$202,3,0))</f>
        <v/>
      </c>
      <c r="E43" s="35"/>
      <c r="F43" s="41"/>
      <c r="G43" s="36" t="str">
        <f t="shared" ref="G43:G53" si="18">IF(ISBLANK($E43),"",IF(ISBLANK($F43),0,$F43*2))</f>
        <v/>
      </c>
      <c r="H43" s="38" t="str">
        <f t="shared" ref="H43:H53" si="19">IF(ISBLANK($E43),"",TEXT($P43,"###")&amp;IF($P43=0,""," мин ")&amp;TEXT($E43+$G43-$P43*60,"###,###")&amp;" с")</f>
        <v/>
      </c>
      <c r="I43" s="29" t="str">
        <f>IF(ISNA($N43),"",VLOOKUP($B43,Reg!$M$3:$P$200,4,0))</f>
        <v/>
      </c>
      <c r="J43" s="46" t="str">
        <f t="shared" si="15"/>
        <v/>
      </c>
      <c r="K43" s="49" t="str">
        <f t="shared" ref="K43:K53" si="20">IF($E43&gt;0,RANK($Q43,$Q$4:$Q$50,1),"")</f>
        <v/>
      </c>
      <c r="L43" s="27"/>
      <c r="M43" s="27"/>
      <c r="N43" s="24" t="e">
        <f>VLOOKUP(40,Reg!$D$2:$M$202,10,0)</f>
        <v>#N/A</v>
      </c>
      <c r="O43" s="25" t="e">
        <f>VLOOKUP($B43,Reg!$M$3:$Q$202,5,0)</f>
        <v>#N/A</v>
      </c>
      <c r="P43" s="25" t="e">
        <f t="shared" ref="P43:P50" si="21">INT((E43+G43)/60)</f>
        <v>#VALUE!</v>
      </c>
      <c r="Q43" s="47">
        <f t="shared" ref="Q43:Q53" si="22">IF($E43&gt;0,$E43+$G43,1000)</f>
        <v>1000</v>
      </c>
      <c r="R43" s="54">
        <v>40</v>
      </c>
    </row>
    <row r="44" spans="1:18" x14ac:dyDescent="0.2">
      <c r="A44" s="26" t="str">
        <f t="shared" si="16"/>
        <v/>
      </c>
      <c r="B44" s="29" t="str">
        <f t="shared" si="17"/>
        <v/>
      </c>
      <c r="C44" s="43" t="str">
        <f>IF(ISNA($N44),"",VLOOKUP($B44,Reg!$M$3:$N$202,2,0))</f>
        <v/>
      </c>
      <c r="D44" s="31" t="str">
        <f>IF(ISNA($N44),"",VLOOKUP($B44,Reg!$M$3:$O$202,3,0))</f>
        <v/>
      </c>
      <c r="E44" s="35"/>
      <c r="F44" s="41"/>
      <c r="G44" s="36" t="str">
        <f t="shared" si="18"/>
        <v/>
      </c>
      <c r="H44" s="38" t="str">
        <f t="shared" si="19"/>
        <v/>
      </c>
      <c r="I44" s="29" t="str">
        <f>IF(ISNA($N44),"",VLOOKUP($B44,Reg!$M$3:$P$200,4,0))</f>
        <v/>
      </c>
      <c r="J44" s="46" t="str">
        <f t="shared" si="15"/>
        <v/>
      </c>
      <c r="K44" s="49" t="str">
        <f t="shared" si="20"/>
        <v/>
      </c>
      <c r="L44" s="27"/>
      <c r="M44" s="27"/>
      <c r="N44" s="24" t="e">
        <f>VLOOKUP(41,Reg!$D$2:$M$202,10,0)</f>
        <v>#N/A</v>
      </c>
      <c r="O44" s="25" t="e">
        <f>VLOOKUP($B44,Reg!$M$3:$Q$202,5,0)</f>
        <v>#N/A</v>
      </c>
      <c r="P44" s="25" t="e">
        <f t="shared" si="21"/>
        <v>#VALUE!</v>
      </c>
      <c r="Q44" s="47">
        <f t="shared" si="22"/>
        <v>1000</v>
      </c>
      <c r="R44" s="54">
        <v>41</v>
      </c>
    </row>
    <row r="45" spans="1:18" x14ac:dyDescent="0.2">
      <c r="A45" s="26" t="str">
        <f t="shared" si="16"/>
        <v/>
      </c>
      <c r="B45" s="29" t="str">
        <f t="shared" si="17"/>
        <v/>
      </c>
      <c r="C45" s="43" t="str">
        <f>IF(ISNA($N45),"",VLOOKUP($B45,Reg!$M$3:$N$202,2,0))</f>
        <v/>
      </c>
      <c r="D45" s="31" t="str">
        <f>IF(ISNA($N45),"",VLOOKUP($B45,Reg!$M$3:$O$202,3,0))</f>
        <v/>
      </c>
      <c r="E45" s="35"/>
      <c r="F45" s="41"/>
      <c r="G45" s="36" t="str">
        <f t="shared" si="18"/>
        <v/>
      </c>
      <c r="H45" s="38" t="str">
        <f t="shared" si="19"/>
        <v/>
      </c>
      <c r="I45" s="29" t="str">
        <f>IF(ISNA($N45),"",VLOOKUP($B45,Reg!$M$3:$P$200,4,0))</f>
        <v/>
      </c>
      <c r="J45" s="46" t="str">
        <f t="shared" si="15"/>
        <v/>
      </c>
      <c r="K45" s="49" t="str">
        <f t="shared" si="20"/>
        <v/>
      </c>
      <c r="L45" s="27"/>
      <c r="M45" s="27"/>
      <c r="N45" s="24" t="e">
        <f>VLOOKUP(42,Reg!$D$2:$M$202,10,0)</f>
        <v>#N/A</v>
      </c>
      <c r="O45" s="25" t="e">
        <f>VLOOKUP($B45,Reg!$M$3:$Q$202,5,0)</f>
        <v>#N/A</v>
      </c>
      <c r="P45" s="25" t="e">
        <f t="shared" si="21"/>
        <v>#VALUE!</v>
      </c>
      <c r="Q45" s="47">
        <f t="shared" si="22"/>
        <v>1000</v>
      </c>
      <c r="R45" s="54">
        <v>42</v>
      </c>
    </row>
    <row r="46" spans="1:18" x14ac:dyDescent="0.2">
      <c r="A46" s="26" t="str">
        <f t="shared" si="16"/>
        <v/>
      </c>
      <c r="B46" s="29" t="str">
        <f t="shared" si="17"/>
        <v/>
      </c>
      <c r="C46" s="43" t="str">
        <f>IF(ISNA($N46),"",VLOOKUP($B46,Reg!$M$3:$N$202,2,0))</f>
        <v/>
      </c>
      <c r="D46" s="31" t="str">
        <f>IF(ISNA($N46),"",VLOOKUP($B46,Reg!$M$3:$O$202,3,0))</f>
        <v/>
      </c>
      <c r="E46" s="35"/>
      <c r="F46" s="41"/>
      <c r="G46" s="36" t="str">
        <f t="shared" si="18"/>
        <v/>
      </c>
      <c r="H46" s="38" t="str">
        <f t="shared" si="19"/>
        <v/>
      </c>
      <c r="I46" s="29" t="str">
        <f>IF(ISNA($N46),"",VLOOKUP($B46,Reg!$M$3:$P$200,4,0))</f>
        <v/>
      </c>
      <c r="J46" s="46" t="str">
        <f t="shared" si="15"/>
        <v/>
      </c>
      <c r="K46" s="49" t="str">
        <f t="shared" si="20"/>
        <v/>
      </c>
      <c r="L46" s="27"/>
      <c r="M46" s="27"/>
      <c r="N46" s="24" t="e">
        <f>VLOOKUP(43,Reg!$D$2:$M$202,10,0)</f>
        <v>#N/A</v>
      </c>
      <c r="O46" s="25" t="e">
        <f>VLOOKUP($B46,Reg!$M$3:$Q$202,5,0)</f>
        <v>#N/A</v>
      </c>
      <c r="P46" s="25" t="e">
        <f t="shared" si="21"/>
        <v>#VALUE!</v>
      </c>
      <c r="Q46" s="47">
        <f t="shared" si="22"/>
        <v>1000</v>
      </c>
      <c r="R46" s="54">
        <v>43</v>
      </c>
    </row>
    <row r="47" spans="1:18" x14ac:dyDescent="0.2">
      <c r="A47" s="26" t="str">
        <f t="shared" si="16"/>
        <v/>
      </c>
      <c r="B47" s="29" t="str">
        <f t="shared" si="17"/>
        <v/>
      </c>
      <c r="C47" s="43" t="str">
        <f>IF(ISNA($N47),"",VLOOKUP($B47,Reg!$M$3:$N$202,2,0))</f>
        <v/>
      </c>
      <c r="D47" s="31" t="str">
        <f>IF(ISNA($N47),"",VLOOKUP($B47,Reg!$M$3:$O$202,3,0))</f>
        <v/>
      </c>
      <c r="E47" s="35"/>
      <c r="F47" s="41"/>
      <c r="G47" s="36" t="str">
        <f t="shared" si="18"/>
        <v/>
      </c>
      <c r="H47" s="38" t="str">
        <f t="shared" si="19"/>
        <v/>
      </c>
      <c r="I47" s="29" t="str">
        <f>IF(ISNA($N47),"",VLOOKUP($B47,Reg!$M$3:$P$200,4,0))</f>
        <v/>
      </c>
      <c r="J47" s="46" t="str">
        <f t="shared" si="15"/>
        <v/>
      </c>
      <c r="K47" s="49" t="str">
        <f t="shared" si="20"/>
        <v/>
      </c>
      <c r="N47" s="24" t="e">
        <f>VLOOKUP(44,Reg!$D$2:$M$202,10,0)</f>
        <v>#N/A</v>
      </c>
      <c r="O47" s="25" t="e">
        <f>VLOOKUP($B47,Reg!$M$3:$Q$202,5,0)</f>
        <v>#N/A</v>
      </c>
      <c r="P47" s="25" t="e">
        <f t="shared" si="21"/>
        <v>#VALUE!</v>
      </c>
      <c r="Q47" s="47">
        <f t="shared" si="22"/>
        <v>1000</v>
      </c>
      <c r="R47" s="54">
        <v>44</v>
      </c>
    </row>
    <row r="48" spans="1:18" x14ac:dyDescent="0.2">
      <c r="A48" s="26" t="str">
        <f t="shared" si="16"/>
        <v/>
      </c>
      <c r="B48" s="29" t="str">
        <f t="shared" si="17"/>
        <v/>
      </c>
      <c r="C48" s="43" t="str">
        <f>IF(ISNA($N48),"",VLOOKUP($B48,Reg!$M$3:$N$202,2,0))</f>
        <v/>
      </c>
      <c r="D48" s="31" t="str">
        <f>IF(ISNA($N48),"",VLOOKUP($B48,Reg!$M$3:$O$202,3,0))</f>
        <v/>
      </c>
      <c r="E48" s="35"/>
      <c r="F48" s="41"/>
      <c r="G48" s="36" t="str">
        <f t="shared" si="18"/>
        <v/>
      </c>
      <c r="H48" s="38" t="str">
        <f t="shared" si="19"/>
        <v/>
      </c>
      <c r="I48" s="29" t="str">
        <f>IF(ISNA($N48),"",VLOOKUP($B48,Reg!$M$3:$P$200,4,0))</f>
        <v/>
      </c>
      <c r="J48" s="46" t="str">
        <f t="shared" si="15"/>
        <v/>
      </c>
      <c r="K48" s="49" t="str">
        <f t="shared" si="20"/>
        <v/>
      </c>
      <c r="N48" s="24" t="e">
        <f>VLOOKUP(45,Reg!$D$2:$M$202,10,0)</f>
        <v>#N/A</v>
      </c>
      <c r="O48" s="25" t="e">
        <f>VLOOKUP($B48,Reg!$M$3:$Q$202,5,0)</f>
        <v>#N/A</v>
      </c>
      <c r="P48" s="25" t="e">
        <f t="shared" si="21"/>
        <v>#VALUE!</v>
      </c>
      <c r="Q48" s="47">
        <f t="shared" si="22"/>
        <v>1000</v>
      </c>
      <c r="R48" s="54">
        <v>45</v>
      </c>
    </row>
    <row r="49" spans="1:18" x14ac:dyDescent="0.2">
      <c r="A49" s="26" t="str">
        <f t="shared" si="16"/>
        <v/>
      </c>
      <c r="B49" s="29" t="str">
        <f t="shared" si="17"/>
        <v/>
      </c>
      <c r="C49" s="43" t="str">
        <f>IF(ISNA($N49),"",VLOOKUP($B49,Reg!$M$3:$N$202,2,0))</f>
        <v/>
      </c>
      <c r="D49" s="31" t="str">
        <f>IF(ISNA($N49),"",VLOOKUP($B49,Reg!$M$3:$O$202,3,0))</f>
        <v/>
      </c>
      <c r="E49" s="35"/>
      <c r="F49" s="41"/>
      <c r="G49" s="36" t="str">
        <f t="shared" si="18"/>
        <v/>
      </c>
      <c r="H49" s="38" t="str">
        <f t="shared" si="19"/>
        <v/>
      </c>
      <c r="I49" s="29" t="str">
        <f>IF(ISNA($N49),"",VLOOKUP($B49,Reg!$M$3:$P$200,4,0))</f>
        <v/>
      </c>
      <c r="J49" s="46" t="str">
        <f t="shared" si="15"/>
        <v/>
      </c>
      <c r="K49" s="49" t="str">
        <f t="shared" si="20"/>
        <v/>
      </c>
      <c r="N49" s="24" t="e">
        <f>VLOOKUP(46,Reg!$D$2:$M$202,10,0)</f>
        <v>#N/A</v>
      </c>
      <c r="O49" s="25" t="e">
        <f>VLOOKUP($B49,Reg!$M$3:$Q$202,5,0)</f>
        <v>#N/A</v>
      </c>
      <c r="P49" s="25" t="e">
        <f t="shared" si="21"/>
        <v>#VALUE!</v>
      </c>
      <c r="Q49" s="47">
        <f t="shared" si="22"/>
        <v>1000</v>
      </c>
      <c r="R49" s="54">
        <v>46</v>
      </c>
    </row>
    <row r="50" spans="1:18" x14ac:dyDescent="0.2">
      <c r="A50" s="26" t="str">
        <f t="shared" si="16"/>
        <v/>
      </c>
      <c r="B50" s="29" t="str">
        <f t="shared" si="17"/>
        <v/>
      </c>
      <c r="C50" s="43" t="str">
        <f>IF(ISNA($N50),"",VLOOKUP($B50,Reg!$M$3:$N$202,2,0))</f>
        <v/>
      </c>
      <c r="D50" s="31" t="str">
        <f>IF(ISNA($N50),"",VLOOKUP($B50,Reg!$M$3:$O$202,3,0))</f>
        <v/>
      </c>
      <c r="E50" s="35"/>
      <c r="F50" s="41"/>
      <c r="G50" s="36" t="str">
        <f t="shared" si="18"/>
        <v/>
      </c>
      <c r="H50" s="38" t="str">
        <f t="shared" si="19"/>
        <v/>
      </c>
      <c r="I50" s="29" t="str">
        <f>IF(ISNA($N50),"",VLOOKUP($B50,Reg!$M$3:$P$200,4,0))</f>
        <v/>
      </c>
      <c r="J50" s="46" t="str">
        <f t="shared" si="15"/>
        <v/>
      </c>
      <c r="K50" s="49" t="str">
        <f t="shared" si="20"/>
        <v/>
      </c>
      <c r="N50" s="24" t="e">
        <f>VLOOKUP(47,Reg!$D$2:$M$202,10,0)</f>
        <v>#N/A</v>
      </c>
      <c r="O50" s="25" t="e">
        <f>VLOOKUP($B50,Reg!$M$3:$Q$202,5,0)</f>
        <v>#N/A</v>
      </c>
      <c r="P50" s="25" t="e">
        <f t="shared" si="21"/>
        <v>#VALUE!</v>
      </c>
      <c r="Q50" s="47">
        <f t="shared" si="22"/>
        <v>1000</v>
      </c>
      <c r="R50" s="54">
        <v>47</v>
      </c>
    </row>
    <row r="51" spans="1:18" x14ac:dyDescent="0.2">
      <c r="A51" s="26" t="str">
        <f t="shared" si="16"/>
        <v/>
      </c>
      <c r="B51" s="29" t="str">
        <f t="shared" si="17"/>
        <v/>
      </c>
      <c r="C51" s="43" t="str">
        <f>IF(ISNA($N51),"",VLOOKUP($B51,Reg!$M$3:$N$202,2,0))</f>
        <v/>
      </c>
      <c r="D51" s="31" t="str">
        <f>IF(ISNA($N51),"",VLOOKUP($B51,Reg!$M$3:$O$202,3,0))</f>
        <v/>
      </c>
      <c r="E51" s="35"/>
      <c r="F51" s="41"/>
      <c r="G51" s="36" t="str">
        <f t="shared" si="18"/>
        <v/>
      </c>
      <c r="H51" s="38" t="str">
        <f t="shared" si="19"/>
        <v/>
      </c>
      <c r="I51" s="29" t="str">
        <f>IF(ISNA($N51),"",VLOOKUP($B51,Reg!$M$3:$P$200,4,0))</f>
        <v/>
      </c>
      <c r="J51" s="46" t="str">
        <f t="shared" si="15"/>
        <v/>
      </c>
      <c r="K51" s="49" t="str">
        <f t="shared" si="20"/>
        <v/>
      </c>
      <c r="N51" s="24" t="e">
        <f>VLOOKUP(47,Reg!$D$2:$M$202,10,0)</f>
        <v>#N/A</v>
      </c>
      <c r="O51" s="25" t="e">
        <f>VLOOKUP($B51,Reg!$M$3:$Q$202,5,0)</f>
        <v>#N/A</v>
      </c>
      <c r="P51" s="25" t="e">
        <f t="shared" ref="P51:P53" si="23">INT((E51+G51)/60)</f>
        <v>#VALUE!</v>
      </c>
      <c r="Q51" s="47">
        <f t="shared" si="22"/>
        <v>1000</v>
      </c>
      <c r="R51" s="54">
        <v>48</v>
      </c>
    </row>
    <row r="52" spans="1:18" x14ac:dyDescent="0.2">
      <c r="A52" s="26" t="str">
        <f t="shared" si="16"/>
        <v/>
      </c>
      <c r="B52" s="29" t="str">
        <f t="shared" si="17"/>
        <v/>
      </c>
      <c r="C52" s="43" t="str">
        <f>IF(ISNA($N52),"",VLOOKUP($B52,Reg!$M$3:$N$202,2,0))</f>
        <v/>
      </c>
      <c r="D52" s="31" t="str">
        <f>IF(ISNA($N52),"",VLOOKUP($B52,Reg!$M$3:$O$202,3,0))</f>
        <v/>
      </c>
      <c r="E52" s="35"/>
      <c r="F52" s="41"/>
      <c r="G52" s="36" t="str">
        <f t="shared" si="18"/>
        <v/>
      </c>
      <c r="H52" s="38" t="str">
        <f t="shared" si="19"/>
        <v/>
      </c>
      <c r="I52" s="29" t="str">
        <f>IF(ISNA($N52),"",VLOOKUP($B52,Reg!$M$3:$P$200,4,0))</f>
        <v/>
      </c>
      <c r="J52" s="46" t="str">
        <f t="shared" si="15"/>
        <v/>
      </c>
      <c r="K52" s="49" t="str">
        <f t="shared" si="20"/>
        <v/>
      </c>
      <c r="N52" s="24" t="e">
        <f>VLOOKUP(47,Reg!$D$2:$M$202,10,0)</f>
        <v>#N/A</v>
      </c>
      <c r="O52" s="25" t="e">
        <f>VLOOKUP($B52,Reg!$M$3:$Q$202,5,0)</f>
        <v>#N/A</v>
      </c>
      <c r="P52" s="25" t="e">
        <f t="shared" si="23"/>
        <v>#VALUE!</v>
      </c>
      <c r="Q52" s="47">
        <f t="shared" si="22"/>
        <v>1000</v>
      </c>
      <c r="R52" s="54">
        <v>49</v>
      </c>
    </row>
    <row r="53" spans="1:18" x14ac:dyDescent="0.2">
      <c r="A53" s="26" t="str">
        <f t="shared" si="16"/>
        <v/>
      </c>
      <c r="B53" s="29" t="str">
        <f t="shared" si="17"/>
        <v/>
      </c>
      <c r="C53" s="43" t="str">
        <f>IF(ISNA($N53),"",VLOOKUP($B53,Reg!$M$3:$N$202,2,0))</f>
        <v/>
      </c>
      <c r="D53" s="31" t="str">
        <f>IF(ISNA($N53),"",VLOOKUP($B53,Reg!$M$3:$O$202,3,0))</f>
        <v/>
      </c>
      <c r="E53" s="35"/>
      <c r="F53" s="41"/>
      <c r="G53" s="36" t="str">
        <f t="shared" si="18"/>
        <v/>
      </c>
      <c r="H53" s="38" t="str">
        <f t="shared" si="19"/>
        <v/>
      </c>
      <c r="I53" s="29" t="str">
        <f>IF(ISNA($N53),"",VLOOKUP($B53,Reg!$M$3:$P$200,4,0))</f>
        <v/>
      </c>
      <c r="J53" s="46" t="str">
        <f t="shared" si="15"/>
        <v/>
      </c>
      <c r="K53" s="49" t="str">
        <f t="shared" si="20"/>
        <v/>
      </c>
      <c r="N53" s="24" t="e">
        <f>VLOOKUP(47,Reg!$D$2:$M$202,10,0)</f>
        <v>#N/A</v>
      </c>
      <c r="O53" s="25" t="e">
        <f>VLOOKUP($B53,Reg!$M$3:$Q$202,5,0)</f>
        <v>#N/A</v>
      </c>
      <c r="P53" s="25" t="e">
        <f t="shared" si="23"/>
        <v>#VALUE!</v>
      </c>
      <c r="Q53" s="47">
        <f t="shared" si="22"/>
        <v>1000</v>
      </c>
      <c r="R53" s="54">
        <v>50</v>
      </c>
    </row>
  </sheetData>
  <sortState ref="A4:R16">
    <sortCondition ref="K4:K16"/>
  </sortState>
  <mergeCells count="2">
    <mergeCell ref="A2:J2"/>
    <mergeCell ref="A1:K1"/>
  </mergeCells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zoomScaleNormal="100" workbookViewId="0">
      <selection activeCell="G14" sqref="G14"/>
    </sheetView>
  </sheetViews>
  <sheetFormatPr defaultRowHeight="15" x14ac:dyDescent="0.2"/>
  <cols>
    <col min="1" max="1" width="4.7109375" style="28" customWidth="1"/>
    <col min="2" max="2" width="6.85546875" style="28" customWidth="1"/>
    <col min="3" max="3" width="28.5703125" style="44" customWidth="1"/>
    <col min="4" max="4" width="11.5703125" style="28" customWidth="1"/>
    <col min="5" max="5" width="8.7109375" style="28" customWidth="1"/>
    <col min="6" max="6" width="5.42578125" style="28" customWidth="1"/>
    <col min="7" max="7" width="5.7109375" style="28" customWidth="1"/>
    <col min="8" max="8" width="14.7109375" style="28" customWidth="1"/>
    <col min="9" max="9" width="17.5703125" style="28" customWidth="1"/>
    <col min="10" max="10" width="26.7109375" style="44" customWidth="1"/>
    <col min="11" max="11" width="4.28515625" style="28" customWidth="1"/>
    <col min="12" max="12" width="9.140625" style="28"/>
    <col min="13" max="13" width="9.140625" style="28" customWidth="1"/>
    <col min="14" max="16" width="9.140625" style="28" hidden="1" customWidth="1"/>
    <col min="17" max="17" width="11.28515625" style="28" hidden="1" customWidth="1"/>
    <col min="18" max="18" width="6.140625" style="54" hidden="1" customWidth="1"/>
    <col min="19" max="16384" width="9.140625" style="28"/>
  </cols>
  <sheetData>
    <row r="1" spans="1:18" s="19" customFormat="1" ht="25.5" customHeight="1" x14ac:dyDescent="0.25">
      <c r="A1" s="90" t="s">
        <v>391</v>
      </c>
      <c r="B1" s="91"/>
      <c r="C1" s="91"/>
      <c r="D1" s="91"/>
      <c r="E1" s="91"/>
      <c r="F1" s="91"/>
      <c r="G1" s="91"/>
      <c r="H1" s="91"/>
      <c r="I1" s="91"/>
      <c r="J1" s="91"/>
      <c r="K1" s="92"/>
      <c r="L1" s="17"/>
      <c r="M1" s="17"/>
      <c r="N1" s="17">
        <f>YEAR(Reg!L1)</f>
        <v>2014</v>
      </c>
      <c r="O1" s="18"/>
    </row>
    <row r="2" spans="1:18" s="22" customFormat="1" ht="25.5" customHeight="1" thickBot="1" x14ac:dyDescent="0.25">
      <c r="A2" s="88" t="str">
        <f>"Группа B (мальчики "&amp;Reg!C1&amp;"-"&amp;Reg!E1-1&amp;": "&amp;$N$1-Reg!C1&amp;"-"&amp;$N$1-Reg!E1+1&amp;" г.р.)"</f>
        <v>Группа B (мальчики 8-10: 2006-2004 г.р.)</v>
      </c>
      <c r="B2" s="89"/>
      <c r="C2" s="89"/>
      <c r="D2" s="89"/>
      <c r="E2" s="89"/>
      <c r="F2" s="89"/>
      <c r="G2" s="89"/>
      <c r="H2" s="89"/>
      <c r="I2" s="89"/>
      <c r="J2" s="89"/>
      <c r="K2" s="50"/>
      <c r="L2" s="20"/>
      <c r="M2" s="20"/>
      <c r="N2" s="20"/>
      <c r="O2" s="21"/>
    </row>
    <row r="3" spans="1:18" s="25" customFormat="1" ht="44.25" customHeight="1" thickBot="1" x14ac:dyDescent="0.25">
      <c r="A3" s="23" t="s">
        <v>5</v>
      </c>
      <c r="B3" s="64" t="s">
        <v>4</v>
      </c>
      <c r="C3" s="42" t="s">
        <v>0</v>
      </c>
      <c r="D3" s="32" t="s">
        <v>6</v>
      </c>
      <c r="E3" s="33" t="s">
        <v>15</v>
      </c>
      <c r="F3" s="62" t="s">
        <v>7</v>
      </c>
      <c r="G3" s="63" t="s">
        <v>16</v>
      </c>
      <c r="H3" s="23" t="s">
        <v>17</v>
      </c>
      <c r="I3" s="32" t="s">
        <v>2</v>
      </c>
      <c r="J3" s="42" t="s">
        <v>3</v>
      </c>
      <c r="K3" s="65" t="s">
        <v>18</v>
      </c>
      <c r="L3" s="24"/>
      <c r="M3" s="24"/>
      <c r="N3" s="24"/>
    </row>
    <row r="4" spans="1:18" s="25" customFormat="1" ht="15" customHeight="1" x14ac:dyDescent="0.2">
      <c r="A4" s="26">
        <f>IF($B4="","",ROW()-3)</f>
        <v>1</v>
      </c>
      <c r="B4" s="29">
        <f>IF(ISNA($N4),"",$N4)</f>
        <v>33</v>
      </c>
      <c r="C4" s="43" t="str">
        <f>IF(ISNA($N4),"",VLOOKUP($B4,Reg!$M$3:$N$202,2,0))</f>
        <v>Тумандеев Данил</v>
      </c>
      <c r="D4" s="30">
        <f>IF(ISNA($N4),"",VLOOKUP($B4,Reg!$M$3:$O$202,3,0))</f>
        <v>38122</v>
      </c>
      <c r="E4" s="34">
        <v>50.759</v>
      </c>
      <c r="F4" s="40">
        <v>1</v>
      </c>
      <c r="G4" s="53">
        <f>IF(ISBLANK($E4),"",IF(ISBLANK($F4),0,$F4*2))</f>
        <v>2</v>
      </c>
      <c r="H4" s="37" t="str">
        <f>IF(ISBLANK($E4),"",TEXT($P4,"###")&amp;IF($P4=0,""," мин ")&amp;TEXT($E4+$G4-$P4*60,"###,###")&amp;" с")</f>
        <v>52,759 с</v>
      </c>
      <c r="I4" s="29" t="str">
        <f>IF(ISNA($N4),"",VLOOKUP($B4,Reg!$M$3:$P$200,4,0))</f>
        <v>Ульяновск</v>
      </c>
      <c r="J4" s="45" t="str">
        <f>IF(ISNA($O4),"",IF($O4=0,"",$O4))</f>
        <v xml:space="preserve"> </v>
      </c>
      <c r="K4" s="48">
        <f>IF($E4&gt;0,RANK($Q4,$Q$4:$Q$50,1),"")</f>
        <v>1</v>
      </c>
      <c r="L4" s="24"/>
      <c r="M4" s="24"/>
      <c r="N4" s="24">
        <f>VLOOKUP(5,Reg!$C$2:$M$202,11,0)</f>
        <v>33</v>
      </c>
      <c r="O4" s="25" t="str">
        <f>VLOOKUP($B4,Reg!$M$3:$Q$202,5,0)</f>
        <v xml:space="preserve"> </v>
      </c>
      <c r="P4" s="25">
        <f>INT((E4+G4)/60)</f>
        <v>0</v>
      </c>
      <c r="Q4" s="47">
        <f>IF($E4&gt;0,$E4+$G4,1000)</f>
        <v>52.759</v>
      </c>
      <c r="R4" s="25">
        <v>5</v>
      </c>
    </row>
    <row r="5" spans="1:18" s="25" customFormat="1" ht="15" customHeight="1" x14ac:dyDescent="0.2">
      <c r="A5" s="26">
        <f>IF($B5="","",ROW()-3)</f>
        <v>2</v>
      </c>
      <c r="B5" s="29">
        <f>IF(ISNA($N5),"",$N5)</f>
        <v>30</v>
      </c>
      <c r="C5" s="43" t="str">
        <f>IF(ISNA($N5),"",VLOOKUP($B5,Reg!$M$3:$N$202,2,0))</f>
        <v>Беляков Макар</v>
      </c>
      <c r="D5" s="31">
        <f>IF(ISNA($N5),"",VLOOKUP($B5,Reg!$M$3:$O$202,3,0))</f>
        <v>38496</v>
      </c>
      <c r="E5" s="35">
        <v>54.79</v>
      </c>
      <c r="F5" s="41"/>
      <c r="G5" s="36">
        <f>IF(ISBLANK($E5),"",IF(ISBLANK($F5),0,$F5*2))</f>
        <v>0</v>
      </c>
      <c r="H5" s="38" t="str">
        <f>IF(ISBLANK($E5),"",TEXT($P5,"###")&amp;IF($P5=0,""," мин ")&amp;TEXT($E5+$G5-$P5*60,"###,###")&amp;" с")</f>
        <v>54,79 с</v>
      </c>
      <c r="I5" s="29" t="str">
        <f>IF(ISNA($N5),"",VLOOKUP($B5,Reg!$M$3:$P$200,4,0))</f>
        <v>Ульяновск</v>
      </c>
      <c r="J5" s="46" t="str">
        <f>IF(ISNA($O5),"",IF($O5=0,"",$O5))</f>
        <v>UNITY</v>
      </c>
      <c r="K5" s="49">
        <f>IF($E5&gt;0,RANK($Q5,$Q$4:$Q$50,1),"")</f>
        <v>2</v>
      </c>
      <c r="L5" s="24"/>
      <c r="M5" s="24"/>
      <c r="N5" s="24">
        <f>VLOOKUP(2,Reg!$C$2:$M$202,11,0)</f>
        <v>30</v>
      </c>
      <c r="O5" s="25" t="str">
        <f>VLOOKUP($B5,Reg!$M$3:$Q$202,5,0)</f>
        <v>UNITY</v>
      </c>
      <c r="P5" s="25">
        <f>INT((E5+G5)/60)</f>
        <v>0</v>
      </c>
      <c r="Q5" s="47">
        <f>IF($E5&gt;0,$E5+$G5,1000)</f>
        <v>54.79</v>
      </c>
      <c r="R5" s="25">
        <v>2</v>
      </c>
    </row>
    <row r="6" spans="1:18" s="25" customFormat="1" ht="15" customHeight="1" x14ac:dyDescent="0.2">
      <c r="A6" s="26">
        <f>IF($B6="","",ROW()-3)</f>
        <v>3</v>
      </c>
      <c r="B6" s="29">
        <f>IF(ISNA($N6),"",$N6)</f>
        <v>3</v>
      </c>
      <c r="C6" s="43" t="str">
        <f>IF(ISNA($N6),"",VLOOKUP($B6,Reg!$M$3:$N$202,2,0))</f>
        <v>Хорев Кирилл</v>
      </c>
      <c r="D6" s="31">
        <f>IF(ISNA($N6),"",VLOOKUP($B6,Reg!$M$3:$O$202,3,0))</f>
        <v>38099</v>
      </c>
      <c r="E6" s="35">
        <v>66.965999999999994</v>
      </c>
      <c r="F6" s="41"/>
      <c r="G6" s="36">
        <f>IF(ISBLANK($E6),"",IF(ISBLANK($F6),0,$F6*2))</f>
        <v>0</v>
      </c>
      <c r="H6" s="38" t="str">
        <f>IF(ISBLANK($E6),"",TEXT($P6,"###")&amp;IF($P6=0,""," мин ")&amp;TEXT($E6+$G6-$P6*60,"###,###")&amp;" с")</f>
        <v>1 мин 6,966 с</v>
      </c>
      <c r="I6" s="29" t="str">
        <f>IF(ISNA($N6),"",VLOOKUP($B6,Reg!$M$3:$P$200,4,0))</f>
        <v>Ульяновск</v>
      </c>
      <c r="J6" s="46" t="str">
        <f>IF(ISNA($O6),"",IF($O6=0,"",$O6))</f>
        <v>UNITY</v>
      </c>
      <c r="K6" s="49">
        <f>IF($E6&gt;0,RANK($Q6,$Q$4:$Q$50,1),"")</f>
        <v>3</v>
      </c>
      <c r="L6" s="27"/>
      <c r="M6" s="27"/>
      <c r="N6" s="24">
        <f>VLOOKUP(6,Reg!$C$2:$M$202,11,0)</f>
        <v>3</v>
      </c>
      <c r="O6" s="25" t="str">
        <f>VLOOKUP($B6,Reg!$M$3:$Q$202,5,0)</f>
        <v>UNITY</v>
      </c>
      <c r="P6" s="25">
        <f>INT((E6+G6)/60)</f>
        <v>1</v>
      </c>
      <c r="Q6" s="47">
        <f>IF($E6&gt;0,$E6+$G6,1000)</f>
        <v>66.965999999999994</v>
      </c>
      <c r="R6" s="25">
        <v>6</v>
      </c>
    </row>
    <row r="7" spans="1:18" s="25" customFormat="1" ht="15" customHeight="1" x14ac:dyDescent="0.2">
      <c r="A7" s="26">
        <f>IF($B7="","",ROW()-3)</f>
        <v>4</v>
      </c>
      <c r="B7" s="29">
        <f>IF(ISNA($N7),"",$N7)</f>
        <v>45</v>
      </c>
      <c r="C7" s="43" t="str">
        <f>IF(ISNA($N7),"",VLOOKUP($B7,Reg!$M$3:$N$202,2,0))</f>
        <v>Белавинский Григорий</v>
      </c>
      <c r="D7" s="31">
        <f>IF(ISNA($N7),"",VLOOKUP($B7,Reg!$M$3:$O$202,3,0))</f>
        <v>38689</v>
      </c>
      <c r="E7" s="35">
        <v>70.335999999999999</v>
      </c>
      <c r="F7" s="41">
        <v>2</v>
      </c>
      <c r="G7" s="36">
        <f>IF(ISBLANK($E7),"",IF(ISBLANK($F7),0,$F7*2))</f>
        <v>4</v>
      </c>
      <c r="H7" s="38" t="str">
        <f>IF(ISBLANK($E7),"",TEXT($P7,"###")&amp;IF($P7=0,""," мин ")&amp;TEXT($E7+$G7-$P7*60,"###,###")&amp;" с")</f>
        <v>1 мин 14,336 с</v>
      </c>
      <c r="I7" s="29" t="str">
        <f>IF(ISNA($N7),"",VLOOKUP($B7,Reg!$M$3:$P$200,4,0))</f>
        <v>Ульяновск</v>
      </c>
      <c r="J7" s="46" t="str">
        <f>IF(ISNA($O7),"",IF($O7=0,"",$O7))</f>
        <v xml:space="preserve"> </v>
      </c>
      <c r="K7" s="49">
        <f>IF($E7&gt;0,RANK($Q7,$Q$4:$Q$50,1),"")</f>
        <v>4</v>
      </c>
      <c r="L7" s="24"/>
      <c r="M7" s="24"/>
      <c r="N7" s="24">
        <f>VLOOKUP(1,Reg!$C$2:$M$202,11,0)</f>
        <v>45</v>
      </c>
      <c r="O7" s="25" t="str">
        <f>VLOOKUP($B7,Reg!$M$3:$Q$202,5,0)</f>
        <v xml:space="preserve"> </v>
      </c>
      <c r="P7" s="25">
        <f>INT((E7+G7)/60)</f>
        <v>1</v>
      </c>
      <c r="Q7" s="47">
        <f>IF($E7&gt;0,$E7+$G7,1000)</f>
        <v>74.335999999999999</v>
      </c>
      <c r="R7" s="25">
        <v>1</v>
      </c>
    </row>
    <row r="8" spans="1:18" s="25" customFormat="1" ht="15" customHeight="1" x14ac:dyDescent="0.2">
      <c r="A8" s="26">
        <f>IF($B8="","",ROW()-3)</f>
        <v>5</v>
      </c>
      <c r="B8" s="29">
        <f>IF(ISNA($N8),"",$N8)</f>
        <v>5</v>
      </c>
      <c r="C8" s="43" t="str">
        <f>IF(ISNA($N8),"",VLOOKUP($B8,Reg!$M$3:$N$202,2,0))</f>
        <v>Семёнов Матвей</v>
      </c>
      <c r="D8" s="31">
        <f>IF(ISNA($N8),"",VLOOKUP($B8,Reg!$M$3:$O$202,3,0))</f>
        <v>38548</v>
      </c>
      <c r="E8" s="35">
        <v>75.251999999999995</v>
      </c>
      <c r="F8" s="41">
        <v>1</v>
      </c>
      <c r="G8" s="36">
        <f>IF(ISBLANK($E8),"",IF(ISBLANK($F8),0,$F8*2))</f>
        <v>2</v>
      </c>
      <c r="H8" s="38" t="str">
        <f>IF(ISBLANK($E8),"",TEXT($P8,"###")&amp;IF($P8=0,""," мин ")&amp;TEXT($E8+$G8-$P8*60,"###,###")&amp;" с")</f>
        <v>1 мин 17,252 с</v>
      </c>
      <c r="I8" s="29" t="str">
        <f>IF(ISNA($N8),"",VLOOKUP($B8,Reg!$M$3:$P$200,4,0))</f>
        <v xml:space="preserve">Ульяновск </v>
      </c>
      <c r="J8" s="46" t="str">
        <f>IF(ISNA($O8),"",IF($O8=0,"",$O8))</f>
        <v xml:space="preserve"> </v>
      </c>
      <c r="K8" s="49">
        <f>IF($E8&gt;0,RANK($Q8,$Q$4:$Q$50,1),"")</f>
        <v>5</v>
      </c>
      <c r="L8" s="27"/>
      <c r="M8" s="27"/>
      <c r="N8" s="24">
        <f>VLOOKUP(3,Reg!$C$2:$M$202,11,0)</f>
        <v>5</v>
      </c>
      <c r="O8" s="25" t="str">
        <f>VLOOKUP($B8,Reg!$M$3:$Q$202,5,0)</f>
        <v xml:space="preserve"> </v>
      </c>
      <c r="P8" s="25">
        <f>INT((E8+G8)/60)</f>
        <v>1</v>
      </c>
      <c r="Q8" s="47">
        <f>IF($E8&gt;0,$E8+$G8,1000)</f>
        <v>77.251999999999995</v>
      </c>
      <c r="R8" s="25">
        <v>3</v>
      </c>
    </row>
    <row r="9" spans="1:18" s="25" customFormat="1" ht="15" customHeight="1" x14ac:dyDescent="0.2">
      <c r="A9" s="26">
        <f>IF($B9="","",ROW()-3)</f>
        <v>6</v>
      </c>
      <c r="B9" s="29">
        <f>IF(ISNA($N9),"",$N9)</f>
        <v>38</v>
      </c>
      <c r="C9" s="43" t="str">
        <f>IF(ISNA($N9),"",VLOOKUP($B9,Reg!$M$3:$N$202,2,0))</f>
        <v>Сорокин Алексей</v>
      </c>
      <c r="D9" s="31">
        <f>IF(ISNA($N9),"",VLOOKUP($B9,Reg!$M$3:$O$202,3,0))</f>
        <v>38917</v>
      </c>
      <c r="E9" s="35">
        <v>86.382000000000005</v>
      </c>
      <c r="F9" s="41">
        <v>1</v>
      </c>
      <c r="G9" s="36">
        <f>IF(ISBLANK($E9),"",IF(ISBLANK($F9),0,$F9*2))</f>
        <v>2</v>
      </c>
      <c r="H9" s="38" t="str">
        <f>IF(ISBLANK($E9),"",TEXT($P9,"###")&amp;IF($P9=0,""," мин ")&amp;TEXT($E9+$G9-$P9*60,"###,###")&amp;" с")</f>
        <v>1 мин 28,382 с</v>
      </c>
      <c r="I9" s="29" t="str">
        <f>IF(ISNA($N9),"",VLOOKUP($B9,Reg!$M$3:$P$200,4,0))</f>
        <v>Ульяновск</v>
      </c>
      <c r="J9" s="46" t="str">
        <f>IF(ISNA($O9),"",IF($O9=0,"",$O9))</f>
        <v xml:space="preserve"> </v>
      </c>
      <c r="K9" s="49">
        <f>IF($E9&gt;0,RANK($Q9,$Q$4:$Q$50,1),"")</f>
        <v>6</v>
      </c>
      <c r="L9" s="27"/>
      <c r="M9" s="27"/>
      <c r="N9" s="24">
        <f>VLOOKUP(4,Reg!$C$2:$M$202,11,0)</f>
        <v>38</v>
      </c>
      <c r="O9" s="25" t="str">
        <f>VLOOKUP($B9,Reg!$M$3:$Q$202,5,0)</f>
        <v xml:space="preserve"> </v>
      </c>
      <c r="P9" s="25">
        <f>INT((E9+G9)/60)</f>
        <v>1</v>
      </c>
      <c r="Q9" s="47">
        <f>IF($E9&gt;0,$E9+$G9,1000)</f>
        <v>88.382000000000005</v>
      </c>
      <c r="R9" s="25">
        <v>4</v>
      </c>
    </row>
    <row r="10" spans="1:18" s="25" customFormat="1" ht="15" customHeight="1" x14ac:dyDescent="0.2">
      <c r="A10" s="26" t="str">
        <f t="shared" ref="A10:A43" si="0">IF($B10="","",ROW()-3)</f>
        <v/>
      </c>
      <c r="B10" s="29" t="str">
        <f t="shared" ref="B10:B43" si="1">IF(ISNA($N10),"",$N10)</f>
        <v/>
      </c>
      <c r="C10" s="43" t="str">
        <f>IF(ISNA($N10),"",VLOOKUP($B10,Reg!$M$3:$N$202,2,0))</f>
        <v/>
      </c>
      <c r="D10" s="31" t="str">
        <f>IF(ISNA($N10),"",VLOOKUP($B10,Reg!$M$3:$O$202,3,0))</f>
        <v/>
      </c>
      <c r="E10" s="35"/>
      <c r="F10" s="41"/>
      <c r="G10" s="36" t="str">
        <f t="shared" ref="G10:G43" si="2">IF(ISBLANK($E10),"",IF(ISBLANK($F10),0,$F10*2))</f>
        <v/>
      </c>
      <c r="H10" s="38" t="str">
        <f t="shared" ref="H10:H43" si="3">IF(ISBLANK($E10),"",TEXT($P10,"###")&amp;IF($P10=0,""," мин ")&amp;TEXT($E10+$G10-$P10*60,"###,###")&amp;" с")</f>
        <v/>
      </c>
      <c r="I10" s="29" t="str">
        <f>IF(ISNA($N10),"",VLOOKUP($B10,Reg!$M$3:$P$200,4,0))</f>
        <v/>
      </c>
      <c r="J10" s="46" t="str">
        <f t="shared" ref="J10:J43" si="4">IF(ISNA($O10),"",IF($O10=0,"",$O10))</f>
        <v/>
      </c>
      <c r="K10" s="49" t="str">
        <f t="shared" ref="K10:K43" si="5">IF($E10&gt;0,RANK($Q10,$Q$4:$Q$50,1),"")</f>
        <v/>
      </c>
      <c r="L10" s="24"/>
      <c r="M10" s="24"/>
      <c r="N10" s="24" t="e">
        <f>VLOOKUP(7,Reg!$C$2:$M$202,11,0)</f>
        <v>#N/A</v>
      </c>
      <c r="O10" s="25" t="e">
        <f>VLOOKUP($B10,Reg!$M$3:$Q$202,5,0)</f>
        <v>#N/A</v>
      </c>
      <c r="P10" s="25" t="e">
        <f t="shared" ref="P10:P43" si="6">INT((E10+G10)/60)</f>
        <v>#VALUE!</v>
      </c>
      <c r="Q10" s="47">
        <f t="shared" ref="Q10:Q43" si="7">IF($E10&gt;0,$E10+$G10,1000)</f>
        <v>1000</v>
      </c>
      <c r="R10" s="25">
        <v>7</v>
      </c>
    </row>
    <row r="11" spans="1:18" s="25" customFormat="1" ht="15" customHeight="1" x14ac:dyDescent="0.2">
      <c r="A11" s="26" t="str">
        <f t="shared" si="0"/>
        <v/>
      </c>
      <c r="B11" s="29" t="str">
        <f t="shared" si="1"/>
        <v/>
      </c>
      <c r="C11" s="43" t="str">
        <f>IF(ISNA($N11),"",VLOOKUP($B11,Reg!$M$3:$N$202,2,0))</f>
        <v/>
      </c>
      <c r="D11" s="31" t="str">
        <f>IF(ISNA($N11),"",VLOOKUP($B11,Reg!$M$3:$O$202,3,0))</f>
        <v/>
      </c>
      <c r="E11" s="35"/>
      <c r="F11" s="41"/>
      <c r="G11" s="36" t="str">
        <f t="shared" si="2"/>
        <v/>
      </c>
      <c r="H11" s="38" t="str">
        <f t="shared" si="3"/>
        <v/>
      </c>
      <c r="I11" s="29" t="str">
        <f>IF(ISNA($N11),"",VLOOKUP($B11,Reg!$M$3:$P$200,4,0))</f>
        <v/>
      </c>
      <c r="J11" s="46" t="str">
        <f t="shared" si="4"/>
        <v/>
      </c>
      <c r="K11" s="49" t="str">
        <f t="shared" si="5"/>
        <v/>
      </c>
      <c r="L11" s="24"/>
      <c r="M11" s="24"/>
      <c r="N11" s="24" t="e">
        <f>VLOOKUP(8,Reg!$C$2:$M$202,11,0)</f>
        <v>#N/A</v>
      </c>
      <c r="O11" s="25" t="e">
        <f>VLOOKUP($B11,Reg!$M$3:$Q$202,5,0)</f>
        <v>#N/A</v>
      </c>
      <c r="P11" s="25" t="e">
        <f t="shared" si="6"/>
        <v>#VALUE!</v>
      </c>
      <c r="Q11" s="47">
        <f t="shared" si="7"/>
        <v>1000</v>
      </c>
      <c r="R11" s="25">
        <v>8</v>
      </c>
    </row>
    <row r="12" spans="1:18" s="25" customFormat="1" ht="15" customHeight="1" x14ac:dyDescent="0.2">
      <c r="A12" s="26" t="str">
        <f t="shared" si="0"/>
        <v/>
      </c>
      <c r="B12" s="29" t="str">
        <f t="shared" si="1"/>
        <v/>
      </c>
      <c r="C12" s="43" t="str">
        <f>IF(ISNA($N12),"",VLOOKUP($B12,Reg!$M$3:$N$202,2,0))</f>
        <v/>
      </c>
      <c r="D12" s="31" t="str">
        <f>IF(ISNA($N12),"",VLOOKUP($B12,Reg!$M$3:$O$202,3,0))</f>
        <v/>
      </c>
      <c r="E12" s="35"/>
      <c r="F12" s="41"/>
      <c r="G12" s="36" t="str">
        <f t="shared" si="2"/>
        <v/>
      </c>
      <c r="H12" s="38" t="str">
        <f t="shared" si="3"/>
        <v/>
      </c>
      <c r="I12" s="29" t="str">
        <f>IF(ISNA($N12),"",VLOOKUP($B12,Reg!$M$3:$P$200,4,0))</f>
        <v/>
      </c>
      <c r="J12" s="46" t="str">
        <f t="shared" si="4"/>
        <v/>
      </c>
      <c r="K12" s="49" t="str">
        <f t="shared" si="5"/>
        <v/>
      </c>
      <c r="L12" s="27"/>
      <c r="M12" s="27"/>
      <c r="N12" s="24" t="e">
        <f>VLOOKUP(9,Reg!$C$2:$M$202,11,0)</f>
        <v>#N/A</v>
      </c>
      <c r="O12" s="25" t="e">
        <f>VLOOKUP($B12,Reg!$M$3:$Q$202,5,0)</f>
        <v>#N/A</v>
      </c>
      <c r="P12" s="25" t="e">
        <f t="shared" si="6"/>
        <v>#VALUE!</v>
      </c>
      <c r="Q12" s="47">
        <f t="shared" si="7"/>
        <v>1000</v>
      </c>
      <c r="R12" s="25">
        <v>9</v>
      </c>
    </row>
    <row r="13" spans="1:18" ht="15" customHeight="1" x14ac:dyDescent="0.2">
      <c r="A13" s="26" t="str">
        <f t="shared" si="0"/>
        <v/>
      </c>
      <c r="B13" s="29" t="str">
        <f t="shared" si="1"/>
        <v/>
      </c>
      <c r="C13" s="43" t="str">
        <f>IF(ISNA($N13),"",VLOOKUP($B13,Reg!$M$3:$N$202,2,0))</f>
        <v/>
      </c>
      <c r="D13" s="31" t="str">
        <f>IF(ISNA($N13),"",VLOOKUP($B13,Reg!$M$3:$O$202,3,0))</f>
        <v/>
      </c>
      <c r="E13" s="35"/>
      <c r="F13" s="41"/>
      <c r="G13" s="36" t="str">
        <f t="shared" si="2"/>
        <v/>
      </c>
      <c r="H13" s="38" t="str">
        <f t="shared" si="3"/>
        <v/>
      </c>
      <c r="I13" s="29" t="str">
        <f>IF(ISNA($N13),"",VLOOKUP($B13,Reg!$M$3:$P$200,4,0))</f>
        <v/>
      </c>
      <c r="J13" s="46" t="str">
        <f t="shared" si="4"/>
        <v/>
      </c>
      <c r="K13" s="49" t="str">
        <f t="shared" si="5"/>
        <v/>
      </c>
      <c r="L13" s="27"/>
      <c r="M13" s="27"/>
      <c r="N13" s="24" t="e">
        <f>VLOOKUP(10,Reg!$C$2:$M$202,11,0)</f>
        <v>#N/A</v>
      </c>
      <c r="O13" s="25" t="e">
        <f>VLOOKUP($B13,Reg!$M$3:$Q$202,5,0)</f>
        <v>#N/A</v>
      </c>
      <c r="P13" s="25" t="e">
        <f t="shared" si="6"/>
        <v>#VALUE!</v>
      </c>
      <c r="Q13" s="47">
        <f t="shared" si="7"/>
        <v>1000</v>
      </c>
      <c r="R13" s="54">
        <v>10</v>
      </c>
    </row>
    <row r="14" spans="1:18" ht="15" customHeight="1" x14ac:dyDescent="0.2">
      <c r="A14" s="26" t="str">
        <f t="shared" si="0"/>
        <v/>
      </c>
      <c r="B14" s="29" t="str">
        <f t="shared" si="1"/>
        <v/>
      </c>
      <c r="C14" s="43" t="str">
        <f>IF(ISNA($N14),"",VLOOKUP($B14,Reg!$M$3:$N$202,2,0))</f>
        <v/>
      </c>
      <c r="D14" s="31" t="str">
        <f>IF(ISNA($N14),"",VLOOKUP($B14,Reg!$M$3:$O$202,3,0))</f>
        <v/>
      </c>
      <c r="E14" s="35"/>
      <c r="F14" s="41"/>
      <c r="G14" s="52" t="str">
        <f t="shared" si="2"/>
        <v/>
      </c>
      <c r="H14" s="38" t="str">
        <f t="shared" si="3"/>
        <v/>
      </c>
      <c r="I14" s="29" t="str">
        <f>IF(ISNA($N14),"",VLOOKUP($B14,Reg!$M$3:$P$200,4,0))</f>
        <v/>
      </c>
      <c r="J14" s="46" t="str">
        <f t="shared" si="4"/>
        <v/>
      </c>
      <c r="K14" s="49" t="str">
        <f t="shared" si="5"/>
        <v/>
      </c>
      <c r="L14" s="24"/>
      <c r="M14" s="24"/>
      <c r="N14" s="24" t="e">
        <f>VLOOKUP(11,Reg!$C$2:$M$202,11,0)</f>
        <v>#N/A</v>
      </c>
      <c r="O14" s="25" t="e">
        <f>VLOOKUP($B14,Reg!$M$3:$Q$202,5,0)</f>
        <v>#N/A</v>
      </c>
      <c r="P14" s="25" t="e">
        <f t="shared" si="6"/>
        <v>#VALUE!</v>
      </c>
      <c r="Q14" s="47">
        <f t="shared" si="7"/>
        <v>1000</v>
      </c>
      <c r="R14" s="54">
        <v>11</v>
      </c>
    </row>
    <row r="15" spans="1:18" ht="15" customHeight="1" x14ac:dyDescent="0.2">
      <c r="A15" s="26" t="str">
        <f t="shared" si="0"/>
        <v/>
      </c>
      <c r="B15" s="29" t="str">
        <f t="shared" si="1"/>
        <v/>
      </c>
      <c r="C15" s="43" t="str">
        <f>IF(ISNA($N15),"",VLOOKUP($B15,Reg!$M$3:$N$202,2,0))</f>
        <v/>
      </c>
      <c r="D15" s="31" t="str">
        <f>IF(ISNA($N15),"",VLOOKUP($B15,Reg!$M$3:$O$202,3,0))</f>
        <v/>
      </c>
      <c r="E15" s="35"/>
      <c r="F15" s="41"/>
      <c r="G15" s="36" t="str">
        <f t="shared" si="2"/>
        <v/>
      </c>
      <c r="H15" s="38" t="str">
        <f t="shared" si="3"/>
        <v/>
      </c>
      <c r="I15" s="29" t="str">
        <f>IF(ISNA($N15),"",VLOOKUP($B15,Reg!$M$3:$P$200,4,0))</f>
        <v/>
      </c>
      <c r="J15" s="46" t="str">
        <f t="shared" si="4"/>
        <v/>
      </c>
      <c r="K15" s="49" t="str">
        <f t="shared" si="5"/>
        <v/>
      </c>
      <c r="L15" s="27"/>
      <c r="M15" s="27"/>
      <c r="N15" s="24" t="e">
        <f>VLOOKUP(12,Reg!$C$2:$M$202,11,0)</f>
        <v>#N/A</v>
      </c>
      <c r="O15" s="25" t="e">
        <f>VLOOKUP($B15,Reg!$M$3:$Q$202,5,0)</f>
        <v>#N/A</v>
      </c>
      <c r="P15" s="25" t="e">
        <f t="shared" si="6"/>
        <v>#VALUE!</v>
      </c>
      <c r="Q15" s="47">
        <f t="shared" si="7"/>
        <v>1000</v>
      </c>
      <c r="R15" s="54">
        <v>12</v>
      </c>
    </row>
    <row r="16" spans="1:18" ht="15" customHeight="1" x14ac:dyDescent="0.2">
      <c r="A16" s="26" t="str">
        <f t="shared" si="0"/>
        <v/>
      </c>
      <c r="B16" s="29" t="str">
        <f t="shared" si="1"/>
        <v/>
      </c>
      <c r="C16" s="43" t="str">
        <f>IF(ISNA($N16),"",VLOOKUP($B16,Reg!$M$3:$N$202,2,0))</f>
        <v/>
      </c>
      <c r="D16" s="31" t="str">
        <f>IF(ISNA($N16),"",VLOOKUP($B16,Reg!$M$3:$O$202,3,0))</f>
        <v/>
      </c>
      <c r="E16" s="35"/>
      <c r="F16" s="41"/>
      <c r="G16" s="36" t="str">
        <f t="shared" si="2"/>
        <v/>
      </c>
      <c r="H16" s="38" t="str">
        <f t="shared" si="3"/>
        <v/>
      </c>
      <c r="I16" s="29" t="str">
        <f>IF(ISNA($N16),"",VLOOKUP($B16,Reg!$M$3:$P$200,4,0))</f>
        <v/>
      </c>
      <c r="J16" s="46" t="str">
        <f t="shared" si="4"/>
        <v/>
      </c>
      <c r="K16" s="49" t="str">
        <f t="shared" si="5"/>
        <v/>
      </c>
      <c r="L16" s="27"/>
      <c r="M16" s="27"/>
      <c r="N16" s="24" t="e">
        <f>VLOOKUP(13,Reg!$C$2:$M$202,11,0)</f>
        <v>#N/A</v>
      </c>
      <c r="O16" s="25" t="e">
        <f>VLOOKUP($B16,Reg!$M$3:$Q$202,5,0)</f>
        <v>#N/A</v>
      </c>
      <c r="P16" s="25" t="e">
        <f t="shared" si="6"/>
        <v>#VALUE!</v>
      </c>
      <c r="Q16" s="47">
        <f t="shared" si="7"/>
        <v>1000</v>
      </c>
      <c r="R16" s="54">
        <v>13</v>
      </c>
    </row>
    <row r="17" spans="1:18" ht="15" customHeight="1" x14ac:dyDescent="0.2">
      <c r="A17" s="26" t="str">
        <f t="shared" si="0"/>
        <v/>
      </c>
      <c r="B17" s="29" t="str">
        <f t="shared" si="1"/>
        <v/>
      </c>
      <c r="C17" s="43" t="str">
        <f>IF(ISNA($N17),"",VLOOKUP($B17,Reg!$M$3:$N$202,2,0))</f>
        <v/>
      </c>
      <c r="D17" s="31" t="str">
        <f>IF(ISNA($N17),"",VLOOKUP($B17,Reg!$M$3:$O$202,3,0))</f>
        <v/>
      </c>
      <c r="E17" s="35"/>
      <c r="F17" s="41"/>
      <c r="G17" s="36" t="str">
        <f t="shared" si="2"/>
        <v/>
      </c>
      <c r="H17" s="38" t="str">
        <f t="shared" si="3"/>
        <v/>
      </c>
      <c r="I17" s="29" t="str">
        <f>IF(ISNA($N17),"",VLOOKUP($B17,Reg!$M$3:$P$200,4,0))</f>
        <v/>
      </c>
      <c r="J17" s="46" t="str">
        <f t="shared" si="4"/>
        <v/>
      </c>
      <c r="K17" s="49" t="str">
        <f t="shared" si="5"/>
        <v/>
      </c>
      <c r="L17" s="27"/>
      <c r="M17" s="27"/>
      <c r="N17" s="24" t="e">
        <f>VLOOKUP(14,Reg!$C$2:$M$202,11,0)</f>
        <v>#N/A</v>
      </c>
      <c r="O17" s="25" t="e">
        <f>VLOOKUP($B17,Reg!$M$3:$Q$202,5,0)</f>
        <v>#N/A</v>
      </c>
      <c r="P17" s="25" t="e">
        <f t="shared" si="6"/>
        <v>#VALUE!</v>
      </c>
      <c r="Q17" s="47">
        <f t="shared" si="7"/>
        <v>1000</v>
      </c>
      <c r="R17" s="54">
        <v>14</v>
      </c>
    </row>
    <row r="18" spans="1:18" ht="15" customHeight="1" x14ac:dyDescent="0.2">
      <c r="A18" s="26" t="str">
        <f t="shared" si="0"/>
        <v/>
      </c>
      <c r="B18" s="29" t="str">
        <f t="shared" si="1"/>
        <v/>
      </c>
      <c r="C18" s="43" t="str">
        <f>IF(ISNA($N18),"",VLOOKUP($B18,Reg!$M$3:$N$202,2,0))</f>
        <v/>
      </c>
      <c r="D18" s="31" t="str">
        <f>IF(ISNA($N18),"",VLOOKUP($B18,Reg!$M$3:$O$202,3,0))</f>
        <v/>
      </c>
      <c r="E18" s="35"/>
      <c r="F18" s="41"/>
      <c r="G18" s="36" t="str">
        <f t="shared" si="2"/>
        <v/>
      </c>
      <c r="H18" s="38" t="str">
        <f t="shared" si="3"/>
        <v/>
      </c>
      <c r="I18" s="29" t="str">
        <f>IF(ISNA($N18),"",VLOOKUP($B18,Reg!$M$3:$P$200,4,0))</f>
        <v/>
      </c>
      <c r="J18" s="46" t="str">
        <f t="shared" si="4"/>
        <v/>
      </c>
      <c r="K18" s="49" t="str">
        <f t="shared" si="5"/>
        <v/>
      </c>
      <c r="L18" s="24"/>
      <c r="M18" s="24"/>
      <c r="N18" s="24" t="e">
        <f>VLOOKUP(15,Reg!$C$2:$M$202,11,0)</f>
        <v>#N/A</v>
      </c>
      <c r="O18" s="25" t="e">
        <f>VLOOKUP($B18,Reg!$M$3:$Q$202,5,0)</f>
        <v>#N/A</v>
      </c>
      <c r="P18" s="25" t="e">
        <f t="shared" si="6"/>
        <v>#VALUE!</v>
      </c>
      <c r="Q18" s="47">
        <f t="shared" si="7"/>
        <v>1000</v>
      </c>
      <c r="R18" s="54">
        <v>15</v>
      </c>
    </row>
    <row r="19" spans="1:18" ht="15" customHeight="1" x14ac:dyDescent="0.2">
      <c r="A19" s="26" t="str">
        <f t="shared" si="0"/>
        <v/>
      </c>
      <c r="B19" s="29" t="str">
        <f t="shared" si="1"/>
        <v/>
      </c>
      <c r="C19" s="43" t="str">
        <f>IF(ISNA($N19),"",VLOOKUP($B19,Reg!$M$3:$N$202,2,0))</f>
        <v/>
      </c>
      <c r="D19" s="31" t="str">
        <f>IF(ISNA($N19),"",VLOOKUP($B19,Reg!$M$3:$O$202,3,0))</f>
        <v/>
      </c>
      <c r="E19" s="35"/>
      <c r="F19" s="41"/>
      <c r="G19" s="36" t="str">
        <f t="shared" si="2"/>
        <v/>
      </c>
      <c r="H19" s="38" t="str">
        <f t="shared" si="3"/>
        <v/>
      </c>
      <c r="I19" s="29" t="str">
        <f>IF(ISNA($N19),"",VLOOKUP($B19,Reg!$M$3:$P$200,4,0))</f>
        <v/>
      </c>
      <c r="J19" s="46" t="str">
        <f t="shared" si="4"/>
        <v/>
      </c>
      <c r="K19" s="49" t="str">
        <f t="shared" si="5"/>
        <v/>
      </c>
      <c r="L19" s="27"/>
      <c r="M19" s="27"/>
      <c r="N19" s="24" t="e">
        <f>VLOOKUP(16,Reg!$C$2:$M$202,11,0)</f>
        <v>#N/A</v>
      </c>
      <c r="O19" s="25" t="e">
        <f>VLOOKUP($B19,Reg!$M$3:$Q$202,5,0)</f>
        <v>#N/A</v>
      </c>
      <c r="P19" s="25" t="e">
        <f t="shared" si="6"/>
        <v>#VALUE!</v>
      </c>
      <c r="Q19" s="47">
        <f t="shared" si="7"/>
        <v>1000</v>
      </c>
      <c r="R19" s="54">
        <v>16</v>
      </c>
    </row>
    <row r="20" spans="1:18" ht="15" customHeight="1" x14ac:dyDescent="0.2">
      <c r="A20" s="26" t="str">
        <f t="shared" si="0"/>
        <v/>
      </c>
      <c r="B20" s="29" t="str">
        <f t="shared" si="1"/>
        <v/>
      </c>
      <c r="C20" s="43" t="str">
        <f>IF(ISNA($N20),"",VLOOKUP($B20,Reg!$M$3:$N$202,2,0))</f>
        <v/>
      </c>
      <c r="D20" s="31" t="str">
        <f>IF(ISNA($N20),"",VLOOKUP($B20,Reg!$M$3:$O$202,3,0))</f>
        <v/>
      </c>
      <c r="E20" s="35"/>
      <c r="F20" s="41"/>
      <c r="G20" s="36" t="str">
        <f t="shared" si="2"/>
        <v/>
      </c>
      <c r="H20" s="38" t="str">
        <f t="shared" si="3"/>
        <v/>
      </c>
      <c r="I20" s="29" t="str">
        <f>IF(ISNA($N20),"",VLOOKUP($B20,Reg!$M$3:$P$200,4,0))</f>
        <v/>
      </c>
      <c r="J20" s="46" t="str">
        <f t="shared" si="4"/>
        <v/>
      </c>
      <c r="K20" s="49" t="str">
        <f t="shared" si="5"/>
        <v/>
      </c>
      <c r="L20" s="27"/>
      <c r="M20" s="27"/>
      <c r="N20" s="24" t="e">
        <f>VLOOKUP(17,Reg!$C$2:$M$202,11,0)</f>
        <v>#N/A</v>
      </c>
      <c r="O20" s="25" t="e">
        <f>VLOOKUP($B20,Reg!$M$3:$Q$202,5,0)</f>
        <v>#N/A</v>
      </c>
      <c r="P20" s="25" t="e">
        <f t="shared" si="6"/>
        <v>#VALUE!</v>
      </c>
      <c r="Q20" s="47">
        <f t="shared" si="7"/>
        <v>1000</v>
      </c>
      <c r="R20" s="54">
        <v>17</v>
      </c>
    </row>
    <row r="21" spans="1:18" ht="15" customHeight="1" x14ac:dyDescent="0.2">
      <c r="A21" s="26" t="str">
        <f t="shared" si="0"/>
        <v/>
      </c>
      <c r="B21" s="29" t="str">
        <f t="shared" si="1"/>
        <v/>
      </c>
      <c r="C21" s="43" t="str">
        <f>IF(ISNA($N21),"",VLOOKUP($B21,Reg!$M$3:$N$202,2,0))</f>
        <v/>
      </c>
      <c r="D21" s="31" t="str">
        <f>IF(ISNA($N21),"",VLOOKUP($B21,Reg!$M$3:$O$202,3,0))</f>
        <v/>
      </c>
      <c r="E21" s="35"/>
      <c r="F21" s="41"/>
      <c r="G21" s="36" t="str">
        <f t="shared" si="2"/>
        <v/>
      </c>
      <c r="H21" s="38" t="str">
        <f t="shared" si="3"/>
        <v/>
      </c>
      <c r="I21" s="29" t="str">
        <f>IF(ISNA($N21),"",VLOOKUP($B21,Reg!$M$3:$P$200,4,0))</f>
        <v/>
      </c>
      <c r="J21" s="46" t="str">
        <f t="shared" si="4"/>
        <v/>
      </c>
      <c r="K21" s="49" t="str">
        <f t="shared" si="5"/>
        <v/>
      </c>
      <c r="L21" s="27"/>
      <c r="M21" s="27"/>
      <c r="N21" s="24" t="e">
        <f>VLOOKUP(18,Reg!$C$2:$M$202,11,0)</f>
        <v>#N/A</v>
      </c>
      <c r="O21" s="25" t="e">
        <f>VLOOKUP($B21,Reg!$M$3:$Q$202,5,0)</f>
        <v>#N/A</v>
      </c>
      <c r="P21" s="25" t="e">
        <f t="shared" si="6"/>
        <v>#VALUE!</v>
      </c>
      <c r="Q21" s="47">
        <f t="shared" si="7"/>
        <v>1000</v>
      </c>
      <c r="R21" s="54">
        <v>18</v>
      </c>
    </row>
    <row r="22" spans="1:18" ht="15" customHeight="1" x14ac:dyDescent="0.2">
      <c r="A22" s="26" t="str">
        <f t="shared" si="0"/>
        <v/>
      </c>
      <c r="B22" s="29" t="str">
        <f t="shared" si="1"/>
        <v/>
      </c>
      <c r="C22" s="43" t="str">
        <f>IF(ISNA($N22),"",VLOOKUP($B22,Reg!$M$3:$N$202,2,0))</f>
        <v/>
      </c>
      <c r="D22" s="31" t="str">
        <f>IF(ISNA($N22),"",VLOOKUP($B22,Reg!$M$3:$O$202,3,0))</f>
        <v/>
      </c>
      <c r="E22" s="35"/>
      <c r="F22" s="41"/>
      <c r="G22" s="36" t="str">
        <f t="shared" si="2"/>
        <v/>
      </c>
      <c r="H22" s="38" t="str">
        <f t="shared" si="3"/>
        <v/>
      </c>
      <c r="I22" s="29" t="str">
        <f>IF(ISNA($N22),"",VLOOKUP($B22,Reg!$M$3:$P$200,4,0))</f>
        <v/>
      </c>
      <c r="J22" s="46" t="str">
        <f t="shared" si="4"/>
        <v/>
      </c>
      <c r="K22" s="49" t="str">
        <f t="shared" si="5"/>
        <v/>
      </c>
      <c r="L22" s="24"/>
      <c r="M22" s="24"/>
      <c r="N22" s="24" t="e">
        <f>VLOOKUP(19,Reg!$C$2:$M$202,11,0)</f>
        <v>#N/A</v>
      </c>
      <c r="O22" s="25" t="e">
        <f>VLOOKUP($B22,Reg!$M$3:$Q$202,5,0)</f>
        <v>#N/A</v>
      </c>
      <c r="P22" s="25" t="e">
        <f t="shared" si="6"/>
        <v>#VALUE!</v>
      </c>
      <c r="Q22" s="47">
        <f t="shared" si="7"/>
        <v>1000</v>
      </c>
      <c r="R22" s="54">
        <v>19</v>
      </c>
    </row>
    <row r="23" spans="1:18" ht="15" customHeight="1" x14ac:dyDescent="0.2">
      <c r="A23" s="26" t="str">
        <f t="shared" si="0"/>
        <v/>
      </c>
      <c r="B23" s="29" t="str">
        <f t="shared" si="1"/>
        <v/>
      </c>
      <c r="C23" s="43" t="str">
        <f>IF(ISNA($N23),"",VLOOKUP($B23,Reg!$M$3:$N$202,2,0))</f>
        <v/>
      </c>
      <c r="D23" s="31" t="str">
        <f>IF(ISNA($N23),"",VLOOKUP($B23,Reg!$M$3:$O$202,3,0))</f>
        <v/>
      </c>
      <c r="E23" s="35"/>
      <c r="F23" s="41"/>
      <c r="G23" s="36" t="str">
        <f t="shared" si="2"/>
        <v/>
      </c>
      <c r="H23" s="38" t="str">
        <f t="shared" si="3"/>
        <v/>
      </c>
      <c r="I23" s="29" t="str">
        <f>IF(ISNA($N23),"",VLOOKUP($B23,Reg!$M$3:$P$200,4,0))</f>
        <v/>
      </c>
      <c r="J23" s="46" t="str">
        <f t="shared" si="4"/>
        <v/>
      </c>
      <c r="K23" s="49" t="str">
        <f t="shared" si="5"/>
        <v/>
      </c>
      <c r="L23" s="24"/>
      <c r="M23" s="24"/>
      <c r="N23" s="24" t="e">
        <f>VLOOKUP(20,Reg!$C$2:$M$202,11,0)</f>
        <v>#N/A</v>
      </c>
      <c r="O23" s="25" t="e">
        <f>VLOOKUP($B23,Reg!$M$3:$Q$202,5,0)</f>
        <v>#N/A</v>
      </c>
      <c r="P23" s="25" t="e">
        <f t="shared" si="6"/>
        <v>#VALUE!</v>
      </c>
      <c r="Q23" s="47">
        <f t="shared" si="7"/>
        <v>1000</v>
      </c>
      <c r="R23" s="54">
        <v>20</v>
      </c>
    </row>
    <row r="24" spans="1:18" ht="15" customHeight="1" x14ac:dyDescent="0.2">
      <c r="A24" s="26" t="str">
        <f t="shared" si="0"/>
        <v/>
      </c>
      <c r="B24" s="29" t="str">
        <f t="shared" si="1"/>
        <v/>
      </c>
      <c r="C24" s="43" t="str">
        <f>IF(ISNA($N24),"",VLOOKUP($B24,Reg!$M$3:$N$202,2,0))</f>
        <v/>
      </c>
      <c r="D24" s="31" t="str">
        <f>IF(ISNA($N24),"",VLOOKUP($B24,Reg!$M$3:$O$202,3,0))</f>
        <v/>
      </c>
      <c r="E24" s="35"/>
      <c r="F24" s="41"/>
      <c r="G24" s="36" t="str">
        <f t="shared" si="2"/>
        <v/>
      </c>
      <c r="H24" s="38" t="str">
        <f t="shared" si="3"/>
        <v/>
      </c>
      <c r="I24" s="29" t="str">
        <f>IF(ISNA($N24),"",VLOOKUP($B24,Reg!$M$3:$P$200,4,0))</f>
        <v/>
      </c>
      <c r="J24" s="46" t="str">
        <f t="shared" si="4"/>
        <v/>
      </c>
      <c r="K24" s="49" t="str">
        <f t="shared" si="5"/>
        <v/>
      </c>
      <c r="L24" s="27"/>
      <c r="M24" s="27"/>
      <c r="N24" s="24" t="e">
        <f>VLOOKUP(21,Reg!$C$2:$M$202,11,0)</f>
        <v>#N/A</v>
      </c>
      <c r="O24" s="25" t="e">
        <f>VLOOKUP($B24,Reg!$M$3:$Q$202,5,0)</f>
        <v>#N/A</v>
      </c>
      <c r="P24" s="25" t="e">
        <f t="shared" si="6"/>
        <v>#VALUE!</v>
      </c>
      <c r="Q24" s="47">
        <f t="shared" si="7"/>
        <v>1000</v>
      </c>
      <c r="R24" s="54">
        <v>21</v>
      </c>
    </row>
    <row r="25" spans="1:18" ht="15" customHeight="1" x14ac:dyDescent="0.2">
      <c r="A25" s="26" t="str">
        <f t="shared" si="0"/>
        <v/>
      </c>
      <c r="B25" s="29" t="str">
        <f t="shared" si="1"/>
        <v/>
      </c>
      <c r="C25" s="43" t="str">
        <f>IF(ISNA($N25),"",VLOOKUP($B25,Reg!$M$3:$N$202,2,0))</f>
        <v/>
      </c>
      <c r="D25" s="31" t="str">
        <f>IF(ISNA($N25),"",VLOOKUP($B25,Reg!$M$3:$O$202,3,0))</f>
        <v/>
      </c>
      <c r="E25" s="35"/>
      <c r="F25" s="41"/>
      <c r="G25" s="36" t="str">
        <f t="shared" si="2"/>
        <v/>
      </c>
      <c r="H25" s="38" t="str">
        <f t="shared" si="3"/>
        <v/>
      </c>
      <c r="I25" s="29" t="str">
        <f>IF(ISNA($N25),"",VLOOKUP($B25,Reg!$M$3:$P$200,4,0))</f>
        <v/>
      </c>
      <c r="J25" s="46" t="str">
        <f t="shared" si="4"/>
        <v/>
      </c>
      <c r="K25" s="49" t="str">
        <f t="shared" si="5"/>
        <v/>
      </c>
      <c r="L25" s="27"/>
      <c r="M25" s="27"/>
      <c r="N25" s="24" t="e">
        <f>VLOOKUP(22,Reg!$C$2:$M$202,11,0)</f>
        <v>#N/A</v>
      </c>
      <c r="O25" s="25" t="e">
        <f>VLOOKUP($B25,Reg!$M$3:$Q$202,5,0)</f>
        <v>#N/A</v>
      </c>
      <c r="P25" s="25" t="e">
        <f t="shared" si="6"/>
        <v>#VALUE!</v>
      </c>
      <c r="Q25" s="47">
        <f t="shared" si="7"/>
        <v>1000</v>
      </c>
      <c r="R25" s="54">
        <v>22</v>
      </c>
    </row>
    <row r="26" spans="1:18" ht="15" customHeight="1" x14ac:dyDescent="0.2">
      <c r="A26" s="26" t="str">
        <f t="shared" si="0"/>
        <v/>
      </c>
      <c r="B26" s="29" t="str">
        <f t="shared" si="1"/>
        <v/>
      </c>
      <c r="C26" s="43" t="str">
        <f>IF(ISNA($N26),"",VLOOKUP($B26,Reg!$M$3:$N$202,2,0))</f>
        <v/>
      </c>
      <c r="D26" s="31" t="str">
        <f>IF(ISNA($N26),"",VLOOKUP($B26,Reg!$M$3:$O$202,3,0))</f>
        <v/>
      </c>
      <c r="E26" s="35"/>
      <c r="F26" s="41"/>
      <c r="G26" s="36" t="str">
        <f t="shared" si="2"/>
        <v/>
      </c>
      <c r="H26" s="38" t="str">
        <f t="shared" si="3"/>
        <v/>
      </c>
      <c r="I26" s="29" t="str">
        <f>IF(ISNA($N26),"",VLOOKUP($B26,Reg!$M$3:$P$200,4,0))</f>
        <v/>
      </c>
      <c r="J26" s="46" t="str">
        <f t="shared" si="4"/>
        <v/>
      </c>
      <c r="K26" s="49" t="str">
        <f t="shared" si="5"/>
        <v/>
      </c>
      <c r="L26" s="27"/>
      <c r="M26" s="27"/>
      <c r="N26" s="24" t="e">
        <f>VLOOKUP(23,Reg!$C$2:$M$202,11,0)</f>
        <v>#N/A</v>
      </c>
      <c r="O26" s="25" t="e">
        <f>VLOOKUP($B26,Reg!$M$3:$Q$202,5,0)</f>
        <v>#N/A</v>
      </c>
      <c r="P26" s="25" t="e">
        <f t="shared" si="6"/>
        <v>#VALUE!</v>
      </c>
      <c r="Q26" s="47">
        <f t="shared" si="7"/>
        <v>1000</v>
      </c>
      <c r="R26" s="54">
        <v>23</v>
      </c>
    </row>
    <row r="27" spans="1:18" ht="15" customHeight="1" x14ac:dyDescent="0.2">
      <c r="A27" s="26" t="str">
        <f t="shared" si="0"/>
        <v/>
      </c>
      <c r="B27" s="29" t="str">
        <f t="shared" si="1"/>
        <v/>
      </c>
      <c r="C27" s="43" t="str">
        <f>IF(ISNA($N27),"",VLOOKUP($B27,Reg!$M$3:$N$202,2,0))</f>
        <v/>
      </c>
      <c r="D27" s="31" t="str">
        <f>IF(ISNA($N27),"",VLOOKUP($B27,Reg!$M$3:$O$202,3,0))</f>
        <v/>
      </c>
      <c r="E27" s="35"/>
      <c r="F27" s="41"/>
      <c r="G27" s="36" t="str">
        <f t="shared" si="2"/>
        <v/>
      </c>
      <c r="H27" s="38" t="str">
        <f t="shared" si="3"/>
        <v/>
      </c>
      <c r="I27" s="29" t="str">
        <f>IF(ISNA($N27),"",VLOOKUP($B27,Reg!$M$3:$P$200,4,0))</f>
        <v/>
      </c>
      <c r="J27" s="46" t="str">
        <f t="shared" si="4"/>
        <v/>
      </c>
      <c r="K27" s="49" t="str">
        <f t="shared" si="5"/>
        <v/>
      </c>
      <c r="L27" s="27"/>
      <c r="M27" s="27"/>
      <c r="N27" s="24" t="e">
        <f>VLOOKUP(24,Reg!$C$2:$M$202,11,0)</f>
        <v>#N/A</v>
      </c>
      <c r="O27" s="25" t="e">
        <f>VLOOKUP($B27,Reg!$M$3:$Q$202,5,0)</f>
        <v>#N/A</v>
      </c>
      <c r="P27" s="25" t="e">
        <f t="shared" si="6"/>
        <v>#VALUE!</v>
      </c>
      <c r="Q27" s="47">
        <f t="shared" si="7"/>
        <v>1000</v>
      </c>
      <c r="R27" s="54">
        <v>24</v>
      </c>
    </row>
    <row r="28" spans="1:18" ht="15" customHeight="1" x14ac:dyDescent="0.2">
      <c r="A28" s="26" t="str">
        <f t="shared" si="0"/>
        <v/>
      </c>
      <c r="B28" s="29" t="str">
        <f t="shared" si="1"/>
        <v/>
      </c>
      <c r="C28" s="43" t="str">
        <f>IF(ISNA($N28),"",VLOOKUP($B28,Reg!$M$3:$N$202,2,0))</f>
        <v/>
      </c>
      <c r="D28" s="31" t="str">
        <f>IF(ISNA($N28),"",VLOOKUP($B28,Reg!$M$3:$O$202,3,0))</f>
        <v/>
      </c>
      <c r="E28" s="35"/>
      <c r="F28" s="41"/>
      <c r="G28" s="36" t="str">
        <f t="shared" si="2"/>
        <v/>
      </c>
      <c r="H28" s="38" t="str">
        <f t="shared" si="3"/>
        <v/>
      </c>
      <c r="I28" s="29" t="str">
        <f>IF(ISNA($N28),"",VLOOKUP($B28,Reg!$M$3:$P$200,4,0))</f>
        <v/>
      </c>
      <c r="J28" s="46" t="str">
        <f t="shared" si="4"/>
        <v/>
      </c>
      <c r="K28" s="49" t="str">
        <f t="shared" si="5"/>
        <v/>
      </c>
      <c r="L28" s="27"/>
      <c r="M28" s="27"/>
      <c r="N28" s="24" t="e">
        <f>VLOOKUP(25,Reg!$C$2:$M$202,11,0)</f>
        <v>#N/A</v>
      </c>
      <c r="O28" s="25" t="e">
        <f>VLOOKUP($B28,Reg!$M$3:$Q$202,5,0)</f>
        <v>#N/A</v>
      </c>
      <c r="P28" s="25" t="e">
        <f t="shared" si="6"/>
        <v>#VALUE!</v>
      </c>
      <c r="Q28" s="47">
        <f t="shared" si="7"/>
        <v>1000</v>
      </c>
      <c r="R28" s="54">
        <v>25</v>
      </c>
    </row>
    <row r="29" spans="1:18" ht="15" customHeight="1" x14ac:dyDescent="0.2">
      <c r="A29" s="26" t="str">
        <f t="shared" si="0"/>
        <v/>
      </c>
      <c r="B29" s="29" t="str">
        <f t="shared" si="1"/>
        <v/>
      </c>
      <c r="C29" s="43" t="str">
        <f>IF(ISNA($N29),"",VLOOKUP($B29,Reg!$M$3:$N$202,2,0))</f>
        <v/>
      </c>
      <c r="D29" s="31" t="str">
        <f>IF(ISNA($N29),"",VLOOKUP($B29,Reg!$M$3:$O$202,3,0))</f>
        <v/>
      </c>
      <c r="E29" s="35"/>
      <c r="F29" s="41"/>
      <c r="G29" s="36" t="str">
        <f t="shared" si="2"/>
        <v/>
      </c>
      <c r="H29" s="38" t="str">
        <f t="shared" si="3"/>
        <v/>
      </c>
      <c r="I29" s="29" t="str">
        <f>IF(ISNA($N29),"",VLOOKUP($B29,Reg!$M$3:$P$200,4,0))</f>
        <v/>
      </c>
      <c r="J29" s="46" t="str">
        <f t="shared" si="4"/>
        <v/>
      </c>
      <c r="K29" s="49" t="str">
        <f t="shared" si="5"/>
        <v/>
      </c>
      <c r="L29" s="27"/>
      <c r="M29" s="27"/>
      <c r="N29" s="24" t="e">
        <f>VLOOKUP(26,Reg!$C$2:$M$202,11,0)</f>
        <v>#N/A</v>
      </c>
      <c r="O29" s="25" t="e">
        <f>VLOOKUP($B29,Reg!$M$3:$Q$202,5,0)</f>
        <v>#N/A</v>
      </c>
      <c r="P29" s="25" t="e">
        <f t="shared" si="6"/>
        <v>#VALUE!</v>
      </c>
      <c r="Q29" s="47">
        <f t="shared" si="7"/>
        <v>1000</v>
      </c>
      <c r="R29" s="54">
        <v>26</v>
      </c>
    </row>
    <row r="30" spans="1:18" ht="15" customHeight="1" x14ac:dyDescent="0.2">
      <c r="A30" s="26" t="str">
        <f t="shared" si="0"/>
        <v/>
      </c>
      <c r="B30" s="29" t="str">
        <f t="shared" si="1"/>
        <v/>
      </c>
      <c r="C30" s="43" t="str">
        <f>IF(ISNA($N30),"",VLOOKUP($B30,Reg!$M$3:$N$202,2,0))</f>
        <v/>
      </c>
      <c r="D30" s="31" t="str">
        <f>IF(ISNA($N30),"",VLOOKUP($B30,Reg!$M$3:$O$202,3,0))</f>
        <v/>
      </c>
      <c r="E30" s="35"/>
      <c r="F30" s="41"/>
      <c r="G30" s="36" t="str">
        <f t="shared" si="2"/>
        <v/>
      </c>
      <c r="H30" s="38" t="str">
        <f t="shared" si="3"/>
        <v/>
      </c>
      <c r="I30" s="29" t="str">
        <f>IF(ISNA($N30),"",VLOOKUP($B30,Reg!$M$3:$P$200,4,0))</f>
        <v/>
      </c>
      <c r="J30" s="46" t="str">
        <f t="shared" si="4"/>
        <v/>
      </c>
      <c r="K30" s="49" t="str">
        <f t="shared" si="5"/>
        <v/>
      </c>
      <c r="L30" s="27"/>
      <c r="M30" s="27"/>
      <c r="N30" s="24" t="e">
        <f>VLOOKUP(27,Reg!$C$2:$M$202,11,0)</f>
        <v>#N/A</v>
      </c>
      <c r="O30" s="25" t="e">
        <f>VLOOKUP($B30,Reg!$M$3:$Q$202,5,0)</f>
        <v>#N/A</v>
      </c>
      <c r="P30" s="25" t="e">
        <f t="shared" si="6"/>
        <v>#VALUE!</v>
      </c>
      <c r="Q30" s="47">
        <f t="shared" si="7"/>
        <v>1000</v>
      </c>
      <c r="R30" s="54">
        <v>27</v>
      </c>
    </row>
    <row r="31" spans="1:18" ht="15" customHeight="1" x14ac:dyDescent="0.2">
      <c r="A31" s="26" t="str">
        <f t="shared" si="0"/>
        <v/>
      </c>
      <c r="B31" s="29" t="str">
        <f t="shared" si="1"/>
        <v/>
      </c>
      <c r="C31" s="43" t="str">
        <f>IF(ISNA($N31),"",VLOOKUP($B31,Reg!$M$3:$N$202,2,0))</f>
        <v/>
      </c>
      <c r="D31" s="31" t="str">
        <f>IF(ISNA($N31),"",VLOOKUP($B31,Reg!$M$3:$O$202,3,0))</f>
        <v/>
      </c>
      <c r="E31" s="35"/>
      <c r="F31" s="41"/>
      <c r="G31" s="36" t="str">
        <f t="shared" si="2"/>
        <v/>
      </c>
      <c r="H31" s="38" t="str">
        <f t="shared" si="3"/>
        <v/>
      </c>
      <c r="I31" s="29" t="str">
        <f>IF(ISNA($N31),"",VLOOKUP($B31,Reg!$M$3:$P$200,4,0))</f>
        <v/>
      </c>
      <c r="J31" s="46" t="str">
        <f t="shared" si="4"/>
        <v/>
      </c>
      <c r="K31" s="49" t="str">
        <f t="shared" si="5"/>
        <v/>
      </c>
      <c r="L31" s="27"/>
      <c r="M31" s="27"/>
      <c r="N31" s="24" t="e">
        <f>VLOOKUP(28,Reg!$C$2:$M$202,11,0)</f>
        <v>#N/A</v>
      </c>
      <c r="O31" s="25" t="e">
        <f>VLOOKUP($B31,Reg!$M$3:$Q$202,5,0)</f>
        <v>#N/A</v>
      </c>
      <c r="P31" s="25" t="e">
        <f t="shared" si="6"/>
        <v>#VALUE!</v>
      </c>
      <c r="Q31" s="47">
        <f t="shared" si="7"/>
        <v>1000</v>
      </c>
      <c r="R31" s="54">
        <v>28</v>
      </c>
    </row>
    <row r="32" spans="1:18" ht="15" customHeight="1" x14ac:dyDescent="0.2">
      <c r="A32" s="26" t="str">
        <f t="shared" si="0"/>
        <v/>
      </c>
      <c r="B32" s="29" t="str">
        <f t="shared" si="1"/>
        <v/>
      </c>
      <c r="C32" s="43" t="str">
        <f>IF(ISNA($N32),"",VLOOKUP($B32,Reg!$M$3:$N$202,2,0))</f>
        <v/>
      </c>
      <c r="D32" s="31" t="str">
        <f>IF(ISNA($N32),"",VLOOKUP($B32,Reg!$M$3:$O$202,3,0))</f>
        <v/>
      </c>
      <c r="E32" s="35"/>
      <c r="F32" s="41"/>
      <c r="G32" s="36" t="str">
        <f t="shared" si="2"/>
        <v/>
      </c>
      <c r="H32" s="38" t="str">
        <f t="shared" si="3"/>
        <v/>
      </c>
      <c r="I32" s="29" t="str">
        <f>IF(ISNA($N32),"",VLOOKUP($B32,Reg!$M$3:$P$200,4,0))</f>
        <v/>
      </c>
      <c r="J32" s="46" t="str">
        <f t="shared" si="4"/>
        <v/>
      </c>
      <c r="K32" s="49" t="str">
        <f t="shared" si="5"/>
        <v/>
      </c>
      <c r="L32" s="27"/>
      <c r="M32" s="27"/>
      <c r="N32" s="24" t="e">
        <f>VLOOKUP(29,Reg!$C$2:$M$202,11,0)</f>
        <v>#N/A</v>
      </c>
      <c r="O32" s="25" t="e">
        <f>VLOOKUP($B32,Reg!$M$3:$Q$202,5,0)</f>
        <v>#N/A</v>
      </c>
      <c r="P32" s="25" t="e">
        <f t="shared" si="6"/>
        <v>#VALUE!</v>
      </c>
      <c r="Q32" s="47">
        <f t="shared" si="7"/>
        <v>1000</v>
      </c>
      <c r="R32" s="54">
        <v>29</v>
      </c>
    </row>
    <row r="33" spans="1:18" ht="15" customHeight="1" x14ac:dyDescent="0.2">
      <c r="A33" s="26" t="str">
        <f t="shared" si="0"/>
        <v/>
      </c>
      <c r="B33" s="29" t="str">
        <f t="shared" si="1"/>
        <v/>
      </c>
      <c r="C33" s="43" t="str">
        <f>IF(ISNA($N33),"",VLOOKUP($B33,Reg!$M$3:$N$202,2,0))</f>
        <v/>
      </c>
      <c r="D33" s="31" t="str">
        <f>IF(ISNA($N33),"",VLOOKUP($B33,Reg!$M$3:$O$202,3,0))</f>
        <v/>
      </c>
      <c r="E33" s="35"/>
      <c r="F33" s="41"/>
      <c r="G33" s="36" t="str">
        <f t="shared" si="2"/>
        <v/>
      </c>
      <c r="H33" s="38" t="str">
        <f t="shared" si="3"/>
        <v/>
      </c>
      <c r="I33" s="29" t="str">
        <f>IF(ISNA($N33),"",VLOOKUP($B33,Reg!$M$3:$P$200,4,0))</f>
        <v/>
      </c>
      <c r="J33" s="46" t="str">
        <f t="shared" si="4"/>
        <v/>
      </c>
      <c r="K33" s="49" t="str">
        <f t="shared" si="5"/>
        <v/>
      </c>
      <c r="L33" s="27"/>
      <c r="M33" s="27"/>
      <c r="N33" s="24" t="e">
        <f>VLOOKUP(30,Reg!$C$2:$M$202,11,0)</f>
        <v>#N/A</v>
      </c>
      <c r="O33" s="25" t="e">
        <f>VLOOKUP($B33,Reg!$M$3:$Q$202,5,0)</f>
        <v>#N/A</v>
      </c>
      <c r="P33" s="25" t="e">
        <f t="shared" si="6"/>
        <v>#VALUE!</v>
      </c>
      <c r="Q33" s="47">
        <f t="shared" si="7"/>
        <v>1000</v>
      </c>
      <c r="R33" s="54">
        <v>30</v>
      </c>
    </row>
    <row r="34" spans="1:18" ht="15" customHeight="1" x14ac:dyDescent="0.2">
      <c r="A34" s="26" t="str">
        <f t="shared" si="0"/>
        <v/>
      </c>
      <c r="B34" s="29" t="str">
        <f t="shared" si="1"/>
        <v/>
      </c>
      <c r="C34" s="43" t="str">
        <f>IF(ISNA($N34),"",VLOOKUP($B34,Reg!$M$3:$N$202,2,0))</f>
        <v/>
      </c>
      <c r="D34" s="31" t="str">
        <f>IF(ISNA($N34),"",VLOOKUP($B34,Reg!$M$3:$O$202,3,0))</f>
        <v/>
      </c>
      <c r="E34" s="35"/>
      <c r="F34" s="41"/>
      <c r="G34" s="36" t="str">
        <f t="shared" si="2"/>
        <v/>
      </c>
      <c r="H34" s="38" t="str">
        <f t="shared" si="3"/>
        <v/>
      </c>
      <c r="I34" s="29" t="str">
        <f>IF(ISNA($N34),"",VLOOKUP($B34,Reg!$M$3:$P$200,4,0))</f>
        <v/>
      </c>
      <c r="J34" s="46" t="str">
        <f t="shared" si="4"/>
        <v/>
      </c>
      <c r="K34" s="49" t="str">
        <f t="shared" si="5"/>
        <v/>
      </c>
      <c r="L34" s="27"/>
      <c r="M34" s="27"/>
      <c r="N34" s="24" t="e">
        <f>VLOOKUP(31,Reg!$C$2:$M$202,11,0)</f>
        <v>#N/A</v>
      </c>
      <c r="O34" s="25" t="e">
        <f>VLOOKUP($B34,Reg!$M$3:$Q$202,5,0)</f>
        <v>#N/A</v>
      </c>
      <c r="P34" s="25" t="e">
        <f t="shared" si="6"/>
        <v>#VALUE!</v>
      </c>
      <c r="Q34" s="47">
        <f t="shared" si="7"/>
        <v>1000</v>
      </c>
      <c r="R34" s="54">
        <v>31</v>
      </c>
    </row>
    <row r="35" spans="1:18" ht="15" customHeight="1" x14ac:dyDescent="0.2">
      <c r="A35" s="26" t="str">
        <f t="shared" si="0"/>
        <v/>
      </c>
      <c r="B35" s="29" t="str">
        <f t="shared" si="1"/>
        <v/>
      </c>
      <c r="C35" s="43" t="str">
        <f>IF(ISNA($N35),"",VLOOKUP($B35,Reg!$M$3:$N$202,2,0))</f>
        <v/>
      </c>
      <c r="D35" s="31" t="str">
        <f>IF(ISNA($N35),"",VLOOKUP($B35,Reg!$M$3:$O$202,3,0))</f>
        <v/>
      </c>
      <c r="E35" s="35"/>
      <c r="F35" s="41"/>
      <c r="G35" s="36" t="str">
        <f t="shared" si="2"/>
        <v/>
      </c>
      <c r="H35" s="38" t="str">
        <f t="shared" si="3"/>
        <v/>
      </c>
      <c r="I35" s="29" t="str">
        <f>IF(ISNA($N35),"",VLOOKUP($B35,Reg!$M$3:$P$200,4,0))</f>
        <v/>
      </c>
      <c r="J35" s="46" t="str">
        <f t="shared" si="4"/>
        <v/>
      </c>
      <c r="K35" s="49" t="str">
        <f t="shared" si="5"/>
        <v/>
      </c>
      <c r="L35" s="27"/>
      <c r="M35" s="27"/>
      <c r="N35" s="24" t="e">
        <f>VLOOKUP(32,Reg!$C$2:$M$202,11,0)</f>
        <v>#N/A</v>
      </c>
      <c r="O35" s="25" t="e">
        <f>VLOOKUP($B35,Reg!$M$3:$Q$202,5,0)</f>
        <v>#N/A</v>
      </c>
      <c r="P35" s="25" t="e">
        <f t="shared" si="6"/>
        <v>#VALUE!</v>
      </c>
      <c r="Q35" s="47">
        <f t="shared" si="7"/>
        <v>1000</v>
      </c>
      <c r="R35" s="54">
        <v>32</v>
      </c>
    </row>
    <row r="36" spans="1:18" x14ac:dyDescent="0.2">
      <c r="A36" s="26" t="str">
        <f t="shared" si="0"/>
        <v/>
      </c>
      <c r="B36" s="29" t="str">
        <f t="shared" si="1"/>
        <v/>
      </c>
      <c r="C36" s="43" t="str">
        <f>IF(ISNA($N36),"",VLOOKUP($B36,Reg!$M$3:$N$202,2,0))</f>
        <v/>
      </c>
      <c r="D36" s="31" t="str">
        <f>IF(ISNA($N36),"",VLOOKUP($B36,Reg!$M$3:$O$202,3,0))</f>
        <v/>
      </c>
      <c r="E36" s="35"/>
      <c r="F36" s="41"/>
      <c r="G36" s="36" t="str">
        <f t="shared" si="2"/>
        <v/>
      </c>
      <c r="H36" s="38" t="str">
        <f t="shared" si="3"/>
        <v/>
      </c>
      <c r="I36" s="29" t="str">
        <f>IF(ISNA($N36),"",VLOOKUP($B36,Reg!$M$3:$P$200,4,0))</f>
        <v/>
      </c>
      <c r="J36" s="46" t="str">
        <f t="shared" si="4"/>
        <v/>
      </c>
      <c r="K36" s="49" t="str">
        <f t="shared" si="5"/>
        <v/>
      </c>
      <c r="L36" s="27"/>
      <c r="M36" s="27"/>
      <c r="N36" s="24" t="e">
        <f>VLOOKUP(33,Reg!$C$2:$M$202,11,0)</f>
        <v>#N/A</v>
      </c>
      <c r="O36" s="25" t="e">
        <f>VLOOKUP($B36,Reg!$M$3:$Q$202,5,0)</f>
        <v>#N/A</v>
      </c>
      <c r="P36" s="25" t="e">
        <f t="shared" si="6"/>
        <v>#VALUE!</v>
      </c>
      <c r="Q36" s="47">
        <f t="shared" si="7"/>
        <v>1000</v>
      </c>
      <c r="R36" s="54">
        <v>33</v>
      </c>
    </row>
    <row r="37" spans="1:18" x14ac:dyDescent="0.2">
      <c r="A37" s="26" t="str">
        <f t="shared" si="0"/>
        <v/>
      </c>
      <c r="B37" s="29" t="str">
        <f t="shared" si="1"/>
        <v/>
      </c>
      <c r="C37" s="43" t="str">
        <f>IF(ISNA($N37),"",VLOOKUP($B37,Reg!$M$3:$N$202,2,0))</f>
        <v/>
      </c>
      <c r="D37" s="31" t="str">
        <f>IF(ISNA($N37),"",VLOOKUP($B37,Reg!$M$3:$O$202,3,0))</f>
        <v/>
      </c>
      <c r="E37" s="35"/>
      <c r="F37" s="41"/>
      <c r="G37" s="36" t="str">
        <f t="shared" si="2"/>
        <v/>
      </c>
      <c r="H37" s="38" t="str">
        <f t="shared" si="3"/>
        <v/>
      </c>
      <c r="I37" s="29" t="str">
        <f>IF(ISNA($N37),"",VLOOKUP($B37,Reg!$M$3:$P$200,4,0))</f>
        <v/>
      </c>
      <c r="J37" s="46" t="str">
        <f t="shared" si="4"/>
        <v/>
      </c>
      <c r="K37" s="49" t="str">
        <f t="shared" si="5"/>
        <v/>
      </c>
      <c r="L37" s="27"/>
      <c r="M37" s="27"/>
      <c r="N37" s="24" t="e">
        <f>VLOOKUP(34,Reg!$C$2:$M$202,11,0)</f>
        <v>#N/A</v>
      </c>
      <c r="O37" s="25" t="e">
        <f>VLOOKUP($B37,Reg!$M$3:$Q$202,5,0)</f>
        <v>#N/A</v>
      </c>
      <c r="P37" s="25" t="e">
        <f t="shared" si="6"/>
        <v>#VALUE!</v>
      </c>
      <c r="Q37" s="47">
        <f t="shared" si="7"/>
        <v>1000</v>
      </c>
      <c r="R37" s="54">
        <v>34</v>
      </c>
    </row>
    <row r="38" spans="1:18" x14ac:dyDescent="0.2">
      <c r="A38" s="26" t="str">
        <f t="shared" si="0"/>
        <v/>
      </c>
      <c r="B38" s="29" t="str">
        <f t="shared" si="1"/>
        <v/>
      </c>
      <c r="C38" s="43" t="str">
        <f>IF(ISNA($N38),"",VLOOKUP($B38,Reg!$M$3:$N$202,2,0))</f>
        <v/>
      </c>
      <c r="D38" s="31" t="str">
        <f>IF(ISNA($N38),"",VLOOKUP($B38,Reg!$M$3:$O$202,3,0))</f>
        <v/>
      </c>
      <c r="E38" s="35"/>
      <c r="F38" s="41"/>
      <c r="G38" s="36" t="str">
        <f t="shared" si="2"/>
        <v/>
      </c>
      <c r="H38" s="38" t="str">
        <f t="shared" si="3"/>
        <v/>
      </c>
      <c r="I38" s="29" t="str">
        <f>IF(ISNA($N38),"",VLOOKUP($B38,Reg!$M$3:$P$200,4,0))</f>
        <v/>
      </c>
      <c r="J38" s="46" t="str">
        <f t="shared" si="4"/>
        <v/>
      </c>
      <c r="K38" s="49" t="str">
        <f t="shared" si="5"/>
        <v/>
      </c>
      <c r="L38" s="27"/>
      <c r="M38" s="27"/>
      <c r="N38" s="24" t="e">
        <f>VLOOKUP(35,Reg!$C$2:$M$202,11,0)</f>
        <v>#N/A</v>
      </c>
      <c r="O38" s="25" t="e">
        <f>VLOOKUP($B38,Reg!$M$3:$Q$202,5,0)</f>
        <v>#N/A</v>
      </c>
      <c r="P38" s="25" t="e">
        <f t="shared" si="6"/>
        <v>#VALUE!</v>
      </c>
      <c r="Q38" s="47">
        <f t="shared" si="7"/>
        <v>1000</v>
      </c>
      <c r="R38" s="54">
        <v>35</v>
      </c>
    </row>
    <row r="39" spans="1:18" x14ac:dyDescent="0.2">
      <c r="A39" s="26" t="str">
        <f t="shared" si="0"/>
        <v/>
      </c>
      <c r="B39" s="29" t="str">
        <f t="shared" si="1"/>
        <v/>
      </c>
      <c r="C39" s="43" t="str">
        <f>IF(ISNA($N39),"",VLOOKUP($B39,Reg!$M$3:$N$202,2,0))</f>
        <v/>
      </c>
      <c r="D39" s="31" t="str">
        <f>IF(ISNA($N39),"",VLOOKUP($B39,Reg!$M$3:$O$202,3,0))</f>
        <v/>
      </c>
      <c r="E39" s="35"/>
      <c r="F39" s="41"/>
      <c r="G39" s="36" t="str">
        <f t="shared" si="2"/>
        <v/>
      </c>
      <c r="H39" s="38" t="str">
        <f t="shared" si="3"/>
        <v/>
      </c>
      <c r="I39" s="29" t="str">
        <f>IF(ISNA($N39),"",VLOOKUP($B39,Reg!$M$3:$P$200,4,0))</f>
        <v/>
      </c>
      <c r="J39" s="46" t="str">
        <f t="shared" si="4"/>
        <v/>
      </c>
      <c r="K39" s="49" t="str">
        <f t="shared" si="5"/>
        <v/>
      </c>
      <c r="L39" s="27"/>
      <c r="M39" s="27"/>
      <c r="N39" s="24" t="e">
        <f>VLOOKUP(36,Reg!$C$2:$M$202,11,0)</f>
        <v>#N/A</v>
      </c>
      <c r="O39" s="25" t="e">
        <f>VLOOKUP($B39,Reg!$M$3:$Q$202,5,0)</f>
        <v>#N/A</v>
      </c>
      <c r="P39" s="25" t="e">
        <f t="shared" si="6"/>
        <v>#VALUE!</v>
      </c>
      <c r="Q39" s="47">
        <f t="shared" si="7"/>
        <v>1000</v>
      </c>
      <c r="R39" s="54">
        <v>36</v>
      </c>
    </row>
    <row r="40" spans="1:18" x14ac:dyDescent="0.2">
      <c r="A40" s="26" t="str">
        <f t="shared" si="0"/>
        <v/>
      </c>
      <c r="B40" s="29" t="str">
        <f t="shared" si="1"/>
        <v/>
      </c>
      <c r="C40" s="43" t="str">
        <f>IF(ISNA($N40),"",VLOOKUP($B40,Reg!$M$3:$N$202,2,0))</f>
        <v/>
      </c>
      <c r="D40" s="31" t="str">
        <f>IF(ISNA($N40),"",VLOOKUP($B40,Reg!$M$3:$O$202,3,0))</f>
        <v/>
      </c>
      <c r="E40" s="35"/>
      <c r="F40" s="41"/>
      <c r="G40" s="36" t="str">
        <f t="shared" si="2"/>
        <v/>
      </c>
      <c r="H40" s="38" t="str">
        <f t="shared" si="3"/>
        <v/>
      </c>
      <c r="I40" s="29" t="str">
        <f>IF(ISNA($N40),"",VLOOKUP($B40,Reg!$M$3:$P$200,4,0))</f>
        <v/>
      </c>
      <c r="J40" s="46" t="str">
        <f t="shared" si="4"/>
        <v/>
      </c>
      <c r="K40" s="49" t="str">
        <f t="shared" si="5"/>
        <v/>
      </c>
      <c r="L40" s="27"/>
      <c r="M40" s="27"/>
      <c r="N40" s="24" t="e">
        <f>VLOOKUP(37,Reg!$C$2:$M$202,11,0)</f>
        <v>#N/A</v>
      </c>
      <c r="O40" s="25" t="e">
        <f>VLOOKUP($B40,Reg!$M$3:$Q$202,5,0)</f>
        <v>#N/A</v>
      </c>
      <c r="P40" s="25" t="e">
        <f t="shared" si="6"/>
        <v>#VALUE!</v>
      </c>
      <c r="Q40" s="47">
        <f t="shared" si="7"/>
        <v>1000</v>
      </c>
      <c r="R40" s="54">
        <v>37</v>
      </c>
    </row>
    <row r="41" spans="1:18" x14ac:dyDescent="0.2">
      <c r="A41" s="26" t="str">
        <f t="shared" si="0"/>
        <v/>
      </c>
      <c r="B41" s="29" t="str">
        <f t="shared" si="1"/>
        <v/>
      </c>
      <c r="C41" s="43" t="str">
        <f>IF(ISNA($N41),"",VLOOKUP($B41,Reg!$M$3:$N$202,2,0))</f>
        <v/>
      </c>
      <c r="D41" s="31" t="str">
        <f>IF(ISNA($N41),"",VLOOKUP($B41,Reg!$M$3:$O$202,3,0))</f>
        <v/>
      </c>
      <c r="E41" s="35"/>
      <c r="F41" s="41"/>
      <c r="G41" s="36" t="str">
        <f t="shared" si="2"/>
        <v/>
      </c>
      <c r="H41" s="38" t="str">
        <f t="shared" si="3"/>
        <v/>
      </c>
      <c r="I41" s="29" t="str">
        <f>IF(ISNA($N41),"",VLOOKUP($B41,Reg!$M$3:$P$200,4,0))</f>
        <v/>
      </c>
      <c r="J41" s="46" t="str">
        <f t="shared" si="4"/>
        <v/>
      </c>
      <c r="K41" s="49" t="str">
        <f t="shared" si="5"/>
        <v/>
      </c>
      <c r="L41" s="27"/>
      <c r="M41" s="27"/>
      <c r="N41" s="24" t="e">
        <f>VLOOKUP(38,Reg!$C$2:$M$202,11,0)</f>
        <v>#N/A</v>
      </c>
      <c r="O41" s="25" t="e">
        <f>VLOOKUP($B41,Reg!$M$3:$Q$202,5,0)</f>
        <v>#N/A</v>
      </c>
      <c r="P41" s="25" t="e">
        <f t="shared" si="6"/>
        <v>#VALUE!</v>
      </c>
      <c r="Q41" s="47">
        <f t="shared" si="7"/>
        <v>1000</v>
      </c>
      <c r="R41" s="54">
        <v>38</v>
      </c>
    </row>
    <row r="42" spans="1:18" x14ac:dyDescent="0.2">
      <c r="A42" s="26" t="str">
        <f t="shared" si="0"/>
        <v/>
      </c>
      <c r="B42" s="29" t="str">
        <f t="shared" si="1"/>
        <v/>
      </c>
      <c r="C42" s="43" t="str">
        <f>IF(ISNA($N42),"",VLOOKUP($B42,Reg!$M$3:$N$202,2,0))</f>
        <v/>
      </c>
      <c r="D42" s="31" t="str">
        <f>IF(ISNA($N42),"",VLOOKUP($B42,Reg!$M$3:$O$202,3,0))</f>
        <v/>
      </c>
      <c r="E42" s="35"/>
      <c r="F42" s="41"/>
      <c r="G42" s="36" t="str">
        <f t="shared" si="2"/>
        <v/>
      </c>
      <c r="H42" s="38" t="str">
        <f t="shared" si="3"/>
        <v/>
      </c>
      <c r="I42" s="29" t="str">
        <f>IF(ISNA($N42),"",VLOOKUP($B42,Reg!$M$3:$P$200,4,0))</f>
        <v/>
      </c>
      <c r="J42" s="46" t="str">
        <f t="shared" si="4"/>
        <v/>
      </c>
      <c r="K42" s="49" t="str">
        <f t="shared" si="5"/>
        <v/>
      </c>
      <c r="L42" s="27"/>
      <c r="M42" s="27"/>
      <c r="N42" s="24" t="e">
        <f>VLOOKUP(39,Reg!$C$2:$M$202,11,0)</f>
        <v>#N/A</v>
      </c>
      <c r="O42" s="25" t="e">
        <f>VLOOKUP($B42,Reg!$M$3:$Q$202,5,0)</f>
        <v>#N/A</v>
      </c>
      <c r="P42" s="25" t="e">
        <f t="shared" si="6"/>
        <v>#VALUE!</v>
      </c>
      <c r="Q42" s="47">
        <f t="shared" si="7"/>
        <v>1000</v>
      </c>
      <c r="R42" s="54">
        <v>39</v>
      </c>
    </row>
    <row r="43" spans="1:18" x14ac:dyDescent="0.2">
      <c r="A43" s="26" t="str">
        <f t="shared" si="0"/>
        <v/>
      </c>
      <c r="B43" s="29" t="str">
        <f t="shared" si="1"/>
        <v/>
      </c>
      <c r="C43" s="43" t="str">
        <f>IF(ISNA($N43),"",VLOOKUP($B43,Reg!$M$3:$N$202,2,0))</f>
        <v/>
      </c>
      <c r="D43" s="31" t="str">
        <f>IF(ISNA($N43),"",VLOOKUP($B43,Reg!$M$3:$O$202,3,0))</f>
        <v/>
      </c>
      <c r="E43" s="35"/>
      <c r="F43" s="41"/>
      <c r="G43" s="36" t="str">
        <f t="shared" si="2"/>
        <v/>
      </c>
      <c r="H43" s="38" t="str">
        <f t="shared" si="3"/>
        <v/>
      </c>
      <c r="I43" s="29" t="str">
        <f>IF(ISNA($N43),"",VLOOKUP($B43,Reg!$M$3:$P$200,4,0))</f>
        <v/>
      </c>
      <c r="J43" s="46" t="str">
        <f t="shared" si="4"/>
        <v/>
      </c>
      <c r="K43" s="49" t="str">
        <f t="shared" si="5"/>
        <v/>
      </c>
      <c r="L43" s="27"/>
      <c r="M43" s="27"/>
      <c r="N43" s="24" t="e">
        <f>VLOOKUP(40,Reg!$C$2:$M$202,11,0)</f>
        <v>#N/A</v>
      </c>
      <c r="O43" s="25" t="e">
        <f>VLOOKUP($B43,Reg!$M$3:$Q$202,5,0)</f>
        <v>#N/A</v>
      </c>
      <c r="P43" s="25" t="e">
        <f t="shared" si="6"/>
        <v>#VALUE!</v>
      </c>
      <c r="Q43" s="47">
        <f t="shared" si="7"/>
        <v>1000</v>
      </c>
      <c r="R43" s="54">
        <v>40</v>
      </c>
    </row>
    <row r="44" spans="1:18" x14ac:dyDescent="0.2">
      <c r="A44" s="26" t="str">
        <f t="shared" ref="A44:A48" si="8">IF($B44="","",ROW()-3)</f>
        <v/>
      </c>
      <c r="B44" s="29" t="str">
        <f t="shared" ref="B44:B48" si="9">IF(ISNA($N44),"",$N44)</f>
        <v/>
      </c>
      <c r="C44" s="43" t="str">
        <f>IF(ISNA($N44),"",VLOOKUP($B44,Reg!$M$3:$N$202,2,0))</f>
        <v/>
      </c>
      <c r="D44" s="31" t="str">
        <f>IF(ISNA($N44),"",VLOOKUP($B44,Reg!$M$3:$O$202,3,0))</f>
        <v/>
      </c>
      <c r="E44" s="35"/>
      <c r="F44" s="41"/>
      <c r="G44" s="36" t="str">
        <f t="shared" ref="G44:G48" si="10">IF(ISBLANK($E44),"",IF(ISBLANK($F44),0,$F44*2))</f>
        <v/>
      </c>
      <c r="H44" s="38" t="str">
        <f t="shared" ref="H44:H48" si="11">IF(ISBLANK($E44),"",TEXT($P44,"###")&amp;IF($P44=0,""," мин ")&amp;TEXT($E44+$G44-$P44*60,"###,###")&amp;" с")</f>
        <v/>
      </c>
      <c r="I44" s="29" t="str">
        <f>IF(ISNA($N44),"",VLOOKUP($B44,Reg!$M$3:$P$200,4,0))</f>
        <v/>
      </c>
      <c r="J44" s="46" t="str">
        <f t="shared" ref="J44:J53" si="12">IF(ISNA($O44),"",IF($O44=0,"",$O44))</f>
        <v/>
      </c>
      <c r="K44" s="49" t="str">
        <f t="shared" ref="K44:K48" si="13">IF($E44&gt;0,RANK($Q44,$Q$4:$Q$50,1),"")</f>
        <v/>
      </c>
      <c r="L44" s="27"/>
      <c r="M44" s="27"/>
      <c r="N44" s="24" t="e">
        <f>VLOOKUP(41,Reg!$C$2:$M$202,11,0)</f>
        <v>#N/A</v>
      </c>
      <c r="O44" s="25" t="e">
        <f>VLOOKUP($B44,Reg!$M$3:$Q$202,5,0)</f>
        <v>#N/A</v>
      </c>
      <c r="P44" s="25" t="e">
        <f t="shared" ref="P44:P48" si="14">INT((E44+G44)/60)</f>
        <v>#VALUE!</v>
      </c>
      <c r="Q44" s="47">
        <f t="shared" ref="Q44:Q48" si="15">IF($E44&gt;0,$E44+$G44,1000)</f>
        <v>1000</v>
      </c>
      <c r="R44" s="54">
        <v>41</v>
      </c>
    </row>
    <row r="45" spans="1:18" x14ac:dyDescent="0.2">
      <c r="A45" s="26" t="str">
        <f t="shared" si="8"/>
        <v/>
      </c>
      <c r="B45" s="29" t="str">
        <f t="shared" si="9"/>
        <v/>
      </c>
      <c r="C45" s="43" t="str">
        <f>IF(ISNA($N45),"",VLOOKUP($B45,Reg!$M$3:$N$202,2,0))</f>
        <v/>
      </c>
      <c r="D45" s="31" t="str">
        <f>IF(ISNA($N45),"",VLOOKUP($B45,Reg!$M$3:$O$202,3,0))</f>
        <v/>
      </c>
      <c r="E45" s="35"/>
      <c r="F45" s="41"/>
      <c r="G45" s="36" t="str">
        <f t="shared" si="10"/>
        <v/>
      </c>
      <c r="H45" s="38" t="str">
        <f t="shared" si="11"/>
        <v/>
      </c>
      <c r="I45" s="29" t="str">
        <f>IF(ISNA($N45),"",VLOOKUP($B45,Reg!$M$3:$P$200,4,0))</f>
        <v/>
      </c>
      <c r="J45" s="46" t="str">
        <f t="shared" si="12"/>
        <v/>
      </c>
      <c r="K45" s="49" t="str">
        <f t="shared" si="13"/>
        <v/>
      </c>
      <c r="L45" s="27"/>
      <c r="M45" s="27"/>
      <c r="N45" s="24" t="e">
        <f>VLOOKUP(42,Reg!$C$2:$M$202,11,0)</f>
        <v>#N/A</v>
      </c>
      <c r="O45" s="25" t="e">
        <f>VLOOKUP($B45,Reg!$M$3:$Q$202,5,0)</f>
        <v>#N/A</v>
      </c>
      <c r="P45" s="25" t="e">
        <f t="shared" si="14"/>
        <v>#VALUE!</v>
      </c>
      <c r="Q45" s="47">
        <f t="shared" si="15"/>
        <v>1000</v>
      </c>
      <c r="R45" s="54">
        <v>42</v>
      </c>
    </row>
    <row r="46" spans="1:18" x14ac:dyDescent="0.2">
      <c r="A46" s="26" t="str">
        <f t="shared" si="8"/>
        <v/>
      </c>
      <c r="B46" s="29" t="str">
        <f t="shared" si="9"/>
        <v/>
      </c>
      <c r="C46" s="43" t="str">
        <f>IF(ISNA($N46),"",VLOOKUP($B46,Reg!$M$3:$N$202,2,0))</f>
        <v/>
      </c>
      <c r="D46" s="31" t="str">
        <f>IF(ISNA($N46),"",VLOOKUP($B46,Reg!$M$3:$O$202,3,0))</f>
        <v/>
      </c>
      <c r="E46" s="35"/>
      <c r="F46" s="41"/>
      <c r="G46" s="36" t="str">
        <f t="shared" si="10"/>
        <v/>
      </c>
      <c r="H46" s="38" t="str">
        <f t="shared" si="11"/>
        <v/>
      </c>
      <c r="I46" s="29" t="str">
        <f>IF(ISNA($N46),"",VLOOKUP($B46,Reg!$M$3:$P$200,4,0))</f>
        <v/>
      </c>
      <c r="J46" s="46" t="str">
        <f t="shared" si="12"/>
        <v/>
      </c>
      <c r="K46" s="49" t="str">
        <f t="shared" si="13"/>
        <v/>
      </c>
      <c r="L46" s="27"/>
      <c r="M46" s="27"/>
      <c r="N46" s="24" t="e">
        <f>VLOOKUP(43,Reg!$C$2:$M$202,11,0)</f>
        <v>#N/A</v>
      </c>
      <c r="O46" s="25" t="e">
        <f>VLOOKUP($B46,Reg!$M$3:$Q$202,5,0)</f>
        <v>#N/A</v>
      </c>
      <c r="P46" s="25" t="e">
        <f t="shared" si="14"/>
        <v>#VALUE!</v>
      </c>
      <c r="Q46" s="47">
        <f t="shared" si="15"/>
        <v>1000</v>
      </c>
      <c r="R46" s="54">
        <v>43</v>
      </c>
    </row>
    <row r="47" spans="1:18" x14ac:dyDescent="0.2">
      <c r="A47" s="26" t="str">
        <f t="shared" si="8"/>
        <v/>
      </c>
      <c r="B47" s="29" t="str">
        <f t="shared" si="9"/>
        <v/>
      </c>
      <c r="C47" s="43" t="str">
        <f>IF(ISNA($N47),"",VLOOKUP($B47,Reg!$M$3:$N$202,2,0))</f>
        <v/>
      </c>
      <c r="D47" s="31" t="str">
        <f>IF(ISNA($N47),"",VLOOKUP($B47,Reg!$M$3:$O$202,3,0))</f>
        <v/>
      </c>
      <c r="E47" s="35"/>
      <c r="F47" s="41"/>
      <c r="G47" s="36" t="str">
        <f t="shared" si="10"/>
        <v/>
      </c>
      <c r="H47" s="38" t="str">
        <f t="shared" si="11"/>
        <v/>
      </c>
      <c r="I47" s="29" t="str">
        <f>IF(ISNA($N47),"",VLOOKUP($B47,Reg!$M$3:$P$200,4,0))</f>
        <v/>
      </c>
      <c r="J47" s="46" t="str">
        <f t="shared" si="12"/>
        <v/>
      </c>
      <c r="K47" s="49" t="str">
        <f t="shared" si="13"/>
        <v/>
      </c>
      <c r="N47" s="24" t="e">
        <f>VLOOKUP(44,Reg!$C$2:$M$202,11,0)</f>
        <v>#N/A</v>
      </c>
      <c r="O47" s="25" t="e">
        <f>VLOOKUP($B47,Reg!$M$3:$Q$202,5,0)</f>
        <v>#N/A</v>
      </c>
      <c r="P47" s="25" t="e">
        <f t="shared" si="14"/>
        <v>#VALUE!</v>
      </c>
      <c r="Q47" s="47">
        <f t="shared" si="15"/>
        <v>1000</v>
      </c>
      <c r="R47" s="54">
        <v>44</v>
      </c>
    </row>
    <row r="48" spans="1:18" x14ac:dyDescent="0.2">
      <c r="A48" s="26" t="str">
        <f t="shared" si="8"/>
        <v/>
      </c>
      <c r="B48" s="29" t="str">
        <f t="shared" si="9"/>
        <v/>
      </c>
      <c r="C48" s="43" t="str">
        <f>IF(ISNA($N48),"",VLOOKUP($B48,Reg!$M$3:$N$202,2,0))</f>
        <v/>
      </c>
      <c r="D48" s="31" t="str">
        <f>IF(ISNA($N48),"",VLOOKUP($B48,Reg!$M$3:$O$202,3,0))</f>
        <v/>
      </c>
      <c r="E48" s="35"/>
      <c r="F48" s="41"/>
      <c r="G48" s="36" t="str">
        <f t="shared" si="10"/>
        <v/>
      </c>
      <c r="H48" s="38" t="str">
        <f t="shared" si="11"/>
        <v/>
      </c>
      <c r="I48" s="29" t="str">
        <f>IF(ISNA($N48),"",VLOOKUP($B48,Reg!$M$3:$P$200,4,0))</f>
        <v/>
      </c>
      <c r="J48" s="46" t="str">
        <f t="shared" si="12"/>
        <v/>
      </c>
      <c r="K48" s="49" t="str">
        <f t="shared" si="13"/>
        <v/>
      </c>
      <c r="N48" s="24" t="e">
        <f>VLOOKUP(45,Reg!$C$2:$M$202,11,0)</f>
        <v>#N/A</v>
      </c>
      <c r="O48" s="25" t="e">
        <f>VLOOKUP($B48,Reg!$M$3:$Q$202,5,0)</f>
        <v>#N/A</v>
      </c>
      <c r="P48" s="25" t="e">
        <f t="shared" si="14"/>
        <v>#VALUE!</v>
      </c>
      <c r="Q48" s="47">
        <f t="shared" si="15"/>
        <v>1000</v>
      </c>
      <c r="R48" s="54">
        <v>45</v>
      </c>
    </row>
    <row r="49" spans="1:18" x14ac:dyDescent="0.2">
      <c r="A49" s="26" t="str">
        <f t="shared" ref="A49:A53" si="16">IF($B49="","",ROW()-3)</f>
        <v/>
      </c>
      <c r="B49" s="29" t="str">
        <f t="shared" ref="B49:B53" si="17">IF(ISNA($N49),"",$N49)</f>
        <v/>
      </c>
      <c r="C49" s="43" t="str">
        <f>IF(ISNA($N49),"",VLOOKUP($B49,Reg!$M$3:$N$202,2,0))</f>
        <v/>
      </c>
      <c r="D49" s="31" t="str">
        <f>IF(ISNA($N49),"",VLOOKUP($B49,Reg!$M$3:$O$202,3,0))</f>
        <v/>
      </c>
      <c r="E49" s="35"/>
      <c r="F49" s="41"/>
      <c r="G49" s="36" t="str">
        <f t="shared" ref="G49:G53" si="18">IF(ISBLANK($E49),"",IF(ISBLANK($F49),0,$F49*2))</f>
        <v/>
      </c>
      <c r="H49" s="38" t="str">
        <f t="shared" ref="H49:H53" si="19">IF(ISBLANK($E49),"",TEXT($P49,"###")&amp;IF($P49=0,""," мин ")&amp;TEXT($E49+$G49-$P49*60,"###,###")&amp;" с")</f>
        <v/>
      </c>
      <c r="I49" s="29" t="str">
        <f>IF(ISNA($N49),"",VLOOKUP($B49,Reg!$M$3:$P$200,4,0))</f>
        <v/>
      </c>
      <c r="J49" s="46" t="str">
        <f t="shared" si="12"/>
        <v/>
      </c>
      <c r="K49" s="49" t="str">
        <f t="shared" ref="K49:K53" si="20">IF($E49&gt;0,RANK($Q49,$Q$4:$Q$50,1),"")</f>
        <v/>
      </c>
      <c r="N49" s="24" t="e">
        <f>VLOOKUP(46,Reg!$C$2:$M$202,11,0)</f>
        <v>#N/A</v>
      </c>
      <c r="O49" s="25" t="e">
        <f>VLOOKUP($B49,Reg!$M$3:$Q$202,5,0)</f>
        <v>#N/A</v>
      </c>
      <c r="P49" s="25" t="e">
        <f t="shared" ref="P49:P50" si="21">INT((E49+G49)/60)</f>
        <v>#VALUE!</v>
      </c>
      <c r="Q49" s="47">
        <f t="shared" ref="Q49:Q53" si="22">IF($E49&gt;0,$E49+$G49,1000)</f>
        <v>1000</v>
      </c>
      <c r="R49" s="54">
        <v>46</v>
      </c>
    </row>
    <row r="50" spans="1:18" x14ac:dyDescent="0.2">
      <c r="A50" s="26" t="str">
        <f t="shared" si="16"/>
        <v/>
      </c>
      <c r="B50" s="29" t="str">
        <f t="shared" si="17"/>
        <v/>
      </c>
      <c r="C50" s="43" t="str">
        <f>IF(ISNA($N50),"",VLOOKUP($B50,Reg!$M$3:$N$202,2,0))</f>
        <v/>
      </c>
      <c r="D50" s="31" t="str">
        <f>IF(ISNA($N50),"",VLOOKUP($B50,Reg!$M$3:$O$202,3,0))</f>
        <v/>
      </c>
      <c r="E50" s="35"/>
      <c r="F50" s="41"/>
      <c r="G50" s="36" t="str">
        <f t="shared" si="18"/>
        <v/>
      </c>
      <c r="H50" s="38" t="str">
        <f t="shared" si="19"/>
        <v/>
      </c>
      <c r="I50" s="29" t="str">
        <f>IF(ISNA($N50),"",VLOOKUP($B50,Reg!$M$3:$P$200,4,0))</f>
        <v/>
      </c>
      <c r="J50" s="46" t="str">
        <f t="shared" si="12"/>
        <v/>
      </c>
      <c r="K50" s="49" t="str">
        <f t="shared" si="20"/>
        <v/>
      </c>
      <c r="N50" s="24" t="e">
        <f>VLOOKUP(47,Reg!$C$2:$M$202,11,0)</f>
        <v>#N/A</v>
      </c>
      <c r="O50" s="25" t="e">
        <f>VLOOKUP($B50,Reg!$M$3:$Q$202,5,0)</f>
        <v>#N/A</v>
      </c>
      <c r="P50" s="25" t="e">
        <f t="shared" si="21"/>
        <v>#VALUE!</v>
      </c>
      <c r="Q50" s="47">
        <f t="shared" si="22"/>
        <v>1000</v>
      </c>
      <c r="R50" s="54">
        <v>47</v>
      </c>
    </row>
    <row r="51" spans="1:18" x14ac:dyDescent="0.2">
      <c r="A51" s="26" t="str">
        <f t="shared" si="16"/>
        <v/>
      </c>
      <c r="B51" s="29" t="str">
        <f t="shared" si="17"/>
        <v/>
      </c>
      <c r="C51" s="43" t="str">
        <f>IF(ISNA($N51),"",VLOOKUP($B51,Reg!$M$3:$N$202,2,0))</f>
        <v/>
      </c>
      <c r="D51" s="31" t="str">
        <f>IF(ISNA($N51),"",VLOOKUP($B51,Reg!$M$3:$O$202,3,0))</f>
        <v/>
      </c>
      <c r="E51" s="35"/>
      <c r="F51" s="41"/>
      <c r="G51" s="36" t="str">
        <f t="shared" si="18"/>
        <v/>
      </c>
      <c r="H51" s="38" t="str">
        <f t="shared" si="19"/>
        <v/>
      </c>
      <c r="I51" s="29" t="str">
        <f>IF(ISNA($N51),"",VLOOKUP($B51,Reg!$M$3:$P$200,4,0))</f>
        <v/>
      </c>
      <c r="J51" s="46" t="str">
        <f t="shared" si="12"/>
        <v/>
      </c>
      <c r="K51" s="49" t="str">
        <f t="shared" si="20"/>
        <v/>
      </c>
      <c r="N51" s="24" t="e">
        <f>VLOOKUP(47,Reg!$C$2:$M$202,11,0)</f>
        <v>#N/A</v>
      </c>
      <c r="O51" s="25" t="e">
        <f>VLOOKUP($B51,Reg!$M$3:$Q$202,5,0)</f>
        <v>#N/A</v>
      </c>
      <c r="P51" s="25" t="e">
        <f t="shared" ref="P51:P53" si="23">INT((E51+G51)/60)</f>
        <v>#VALUE!</v>
      </c>
      <c r="Q51" s="47">
        <f t="shared" si="22"/>
        <v>1000</v>
      </c>
      <c r="R51" s="54">
        <v>48</v>
      </c>
    </row>
    <row r="52" spans="1:18" x14ac:dyDescent="0.2">
      <c r="A52" s="26" t="str">
        <f t="shared" si="16"/>
        <v/>
      </c>
      <c r="B52" s="29" t="str">
        <f t="shared" si="17"/>
        <v/>
      </c>
      <c r="C52" s="43" t="str">
        <f>IF(ISNA($N52),"",VLOOKUP($B52,Reg!$M$3:$N$202,2,0))</f>
        <v/>
      </c>
      <c r="D52" s="31" t="str">
        <f>IF(ISNA($N52),"",VLOOKUP($B52,Reg!$M$3:$O$202,3,0))</f>
        <v/>
      </c>
      <c r="E52" s="35"/>
      <c r="F52" s="41"/>
      <c r="G52" s="36" t="str">
        <f t="shared" si="18"/>
        <v/>
      </c>
      <c r="H52" s="38" t="str">
        <f t="shared" si="19"/>
        <v/>
      </c>
      <c r="I52" s="29" t="str">
        <f>IF(ISNA($N52),"",VLOOKUP($B52,Reg!$M$3:$P$200,4,0))</f>
        <v/>
      </c>
      <c r="J52" s="46" t="str">
        <f t="shared" si="12"/>
        <v/>
      </c>
      <c r="K52" s="49" t="str">
        <f t="shared" si="20"/>
        <v/>
      </c>
      <c r="N52" s="24" t="e">
        <f>VLOOKUP(47,Reg!$C$2:$M$202,11,0)</f>
        <v>#N/A</v>
      </c>
      <c r="O52" s="25" t="e">
        <f>VLOOKUP($B52,Reg!$M$3:$Q$202,5,0)</f>
        <v>#N/A</v>
      </c>
      <c r="P52" s="25" t="e">
        <f t="shared" si="23"/>
        <v>#VALUE!</v>
      </c>
      <c r="Q52" s="47">
        <f t="shared" si="22"/>
        <v>1000</v>
      </c>
      <c r="R52" s="54">
        <v>49</v>
      </c>
    </row>
    <row r="53" spans="1:18" x14ac:dyDescent="0.2">
      <c r="A53" s="26" t="str">
        <f t="shared" si="16"/>
        <v/>
      </c>
      <c r="B53" s="29" t="str">
        <f t="shared" si="17"/>
        <v/>
      </c>
      <c r="C53" s="43" t="str">
        <f>IF(ISNA($N53),"",VLOOKUP($B53,Reg!$M$3:$N$202,2,0))</f>
        <v/>
      </c>
      <c r="D53" s="31" t="str">
        <f>IF(ISNA($N53),"",VLOOKUP($B53,Reg!$M$3:$O$202,3,0))</f>
        <v/>
      </c>
      <c r="E53" s="35"/>
      <c r="F53" s="41"/>
      <c r="G53" s="36" t="str">
        <f t="shared" si="18"/>
        <v/>
      </c>
      <c r="H53" s="38" t="str">
        <f t="shared" si="19"/>
        <v/>
      </c>
      <c r="I53" s="29" t="str">
        <f>IF(ISNA($N53),"",VLOOKUP($B53,Reg!$M$3:$P$200,4,0))</f>
        <v/>
      </c>
      <c r="J53" s="46" t="str">
        <f t="shared" si="12"/>
        <v/>
      </c>
      <c r="K53" s="49" t="str">
        <f t="shared" si="20"/>
        <v/>
      </c>
      <c r="N53" s="24" t="e">
        <f>VLOOKUP(47,Reg!$C$2:$M$202,11,0)</f>
        <v>#N/A</v>
      </c>
      <c r="O53" s="25" t="e">
        <f>VLOOKUP($B53,Reg!$M$3:$Q$202,5,0)</f>
        <v>#N/A</v>
      </c>
      <c r="P53" s="25" t="e">
        <f t="shared" si="23"/>
        <v>#VALUE!</v>
      </c>
      <c r="Q53" s="47">
        <f t="shared" si="22"/>
        <v>1000</v>
      </c>
      <c r="R53" s="54">
        <v>50</v>
      </c>
    </row>
  </sheetData>
  <sortState ref="A4:R9">
    <sortCondition ref="K4:K9"/>
  </sortState>
  <mergeCells count="2">
    <mergeCell ref="A2:J2"/>
    <mergeCell ref="A1:K1"/>
  </mergeCells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zoomScaleNormal="100" workbookViewId="0">
      <selection activeCell="E11" sqref="E11"/>
    </sheetView>
  </sheetViews>
  <sheetFormatPr defaultRowHeight="15" x14ac:dyDescent="0.2"/>
  <cols>
    <col min="1" max="1" width="4.7109375" style="28" customWidth="1"/>
    <col min="2" max="2" width="6.85546875" style="28" customWidth="1"/>
    <col min="3" max="3" width="28.5703125" style="44" customWidth="1"/>
    <col min="4" max="4" width="11.5703125" style="28" customWidth="1"/>
    <col min="5" max="5" width="8.7109375" style="28" customWidth="1"/>
    <col min="6" max="6" width="5.42578125" style="28" customWidth="1"/>
    <col min="7" max="7" width="5.7109375" style="28" customWidth="1"/>
    <col min="8" max="8" width="14.7109375" style="28" customWidth="1"/>
    <col min="9" max="9" width="17.5703125" style="28" customWidth="1"/>
    <col min="10" max="10" width="26.7109375" style="44" customWidth="1"/>
    <col min="11" max="11" width="4.28515625" style="28" customWidth="1"/>
    <col min="12" max="12" width="9.140625" style="28"/>
    <col min="13" max="13" width="9.140625" style="28" customWidth="1"/>
    <col min="14" max="16" width="9.140625" style="28" hidden="1" customWidth="1"/>
    <col min="17" max="17" width="11.28515625" style="28" hidden="1" customWidth="1"/>
    <col min="18" max="18" width="6.140625" style="54" hidden="1" customWidth="1"/>
    <col min="19" max="16384" width="9.140625" style="28"/>
  </cols>
  <sheetData>
    <row r="1" spans="1:18" s="19" customFormat="1" ht="25.5" customHeight="1" x14ac:dyDescent="0.25">
      <c r="A1" s="90" t="s">
        <v>391</v>
      </c>
      <c r="B1" s="91"/>
      <c r="C1" s="91"/>
      <c r="D1" s="91"/>
      <c r="E1" s="91"/>
      <c r="F1" s="91"/>
      <c r="G1" s="91"/>
      <c r="H1" s="91"/>
      <c r="I1" s="91"/>
      <c r="J1" s="91"/>
      <c r="K1" s="92"/>
      <c r="L1" s="17"/>
      <c r="M1" s="17"/>
      <c r="N1" s="17">
        <f>YEAR(Reg!L1)</f>
        <v>2014</v>
      </c>
      <c r="O1" s="18"/>
    </row>
    <row r="2" spans="1:18" s="22" customFormat="1" ht="25.5" customHeight="1" thickBot="1" x14ac:dyDescent="0.25">
      <c r="A2" s="88" t="str">
        <f>"Группа C (девочки "&amp;Reg!F1&amp;"-"&amp;Reg!H1-1&amp;": "&amp;$N$1-Reg!F1&amp;"-"&amp;$N$1-Reg!H1+1&amp;" г.р.)"</f>
        <v>Группа C (девочки 11-14: 2003-2000 г.р.)</v>
      </c>
      <c r="B2" s="89"/>
      <c r="C2" s="89"/>
      <c r="D2" s="89"/>
      <c r="E2" s="89"/>
      <c r="F2" s="89"/>
      <c r="G2" s="89"/>
      <c r="H2" s="89"/>
      <c r="I2" s="89"/>
      <c r="J2" s="89"/>
      <c r="K2" s="50"/>
      <c r="L2" s="20"/>
      <c r="M2" s="20"/>
      <c r="N2" s="20"/>
      <c r="O2" s="21"/>
    </row>
    <row r="3" spans="1:18" s="25" customFormat="1" ht="44.25" customHeight="1" thickBot="1" x14ac:dyDescent="0.25">
      <c r="A3" s="23" t="s">
        <v>5</v>
      </c>
      <c r="B3" s="64" t="s">
        <v>4</v>
      </c>
      <c r="C3" s="42" t="s">
        <v>0</v>
      </c>
      <c r="D3" s="32" t="s">
        <v>6</v>
      </c>
      <c r="E3" s="33" t="s">
        <v>15</v>
      </c>
      <c r="F3" s="62" t="s">
        <v>7</v>
      </c>
      <c r="G3" s="63" t="s">
        <v>16</v>
      </c>
      <c r="H3" s="23" t="s">
        <v>17</v>
      </c>
      <c r="I3" s="32" t="s">
        <v>2</v>
      </c>
      <c r="J3" s="42" t="s">
        <v>3</v>
      </c>
      <c r="K3" s="65" t="s">
        <v>18</v>
      </c>
      <c r="L3" s="24"/>
      <c r="M3" s="24"/>
      <c r="N3" s="24"/>
    </row>
    <row r="4" spans="1:18" s="25" customFormat="1" ht="15" customHeight="1" x14ac:dyDescent="0.2">
      <c r="A4" s="26">
        <f>IF($B4="","",ROW()-3)</f>
        <v>1</v>
      </c>
      <c r="B4" s="29">
        <f>IF(ISNA($N4),"",$N4)</f>
        <v>10</v>
      </c>
      <c r="C4" s="43" t="str">
        <f>IF(ISNA($N4),"",VLOOKUP($B4,Reg!$M$3:$N$202,2,0))</f>
        <v>Малахова Анастасия</v>
      </c>
      <c r="D4" s="30">
        <f>IF(ISNA($N4),"",VLOOKUP($B4,Reg!$M$3:$O$202,3,0))</f>
        <v>37505</v>
      </c>
      <c r="E4" s="34">
        <v>41.887</v>
      </c>
      <c r="F4" s="40">
        <v>2</v>
      </c>
      <c r="G4" s="53">
        <f>IF(ISBLANK($E4),"",IF(ISBLANK($F4),0,$F4*2))</f>
        <v>4</v>
      </c>
      <c r="H4" s="37" t="str">
        <f>IF(ISBLANK($E4),"",TEXT($P4,"###")&amp;IF($P4=0,""," мин ")&amp;TEXT($E4+$G4-$P4*60,"###,###")&amp;" с")</f>
        <v>45,887 с</v>
      </c>
      <c r="I4" s="29" t="str">
        <f>IF(ISNA($N4),"",VLOOKUP($B4,Reg!$M$3:$P$200,4,0))</f>
        <v>Ульяновск</v>
      </c>
      <c r="J4" s="45" t="str">
        <f>IF(ISNA($O4),"",IF($O4=0,"",$O4))</f>
        <v>UNITY</v>
      </c>
      <c r="K4" s="48">
        <f>IF($E4&gt;0,RANK($Q4,$Q$4:$Q$50,1),"")</f>
        <v>1</v>
      </c>
      <c r="L4" s="24"/>
      <c r="M4" s="24"/>
      <c r="N4" s="24">
        <f>VLOOKUP(5,Reg!$F$2:$M$202,8,0)</f>
        <v>10</v>
      </c>
      <c r="O4" s="25" t="str">
        <f>VLOOKUP($B4,Reg!$M$3:$Q$202,5,0)</f>
        <v>UNITY</v>
      </c>
      <c r="P4" s="25">
        <f>INT((E4+G4)/60)</f>
        <v>0</v>
      </c>
      <c r="Q4" s="47">
        <f>IF($E4&gt;0,$E4+$G4,1000)</f>
        <v>45.887</v>
      </c>
      <c r="R4" s="25">
        <v>5</v>
      </c>
    </row>
    <row r="5" spans="1:18" s="25" customFormat="1" ht="15" customHeight="1" x14ac:dyDescent="0.2">
      <c r="A5" s="26">
        <f>IF($B5="","",ROW()-3)</f>
        <v>2</v>
      </c>
      <c r="B5" s="29">
        <f>IF(ISNA($N5),"",$N5)</f>
        <v>48</v>
      </c>
      <c r="C5" s="43" t="str">
        <f>IF(ISNA($N5),"",VLOOKUP($B5,Reg!$M$3:$N$202,2,0))</f>
        <v>Ганичева Дарья</v>
      </c>
      <c r="D5" s="31">
        <f>IF(ISNA($N5),"",VLOOKUP($B5,Reg!$M$3:$O$202,3,0))</f>
        <v>37426</v>
      </c>
      <c r="E5" s="35">
        <v>47.59</v>
      </c>
      <c r="F5" s="41"/>
      <c r="G5" s="52">
        <f>IF(ISBLANK($E5),"",IF(ISBLANK($F5),0,$F5*2))</f>
        <v>0</v>
      </c>
      <c r="H5" s="38" t="str">
        <f>IF(ISBLANK($E5),"",TEXT($P5,"###")&amp;IF($P5=0,""," мин ")&amp;TEXT($E5+$G5-$P5*60,"###,###")&amp;" с")</f>
        <v>47,59 с</v>
      </c>
      <c r="I5" s="29" t="str">
        <f>IF(ISNA($N5),"",VLOOKUP($B5,Reg!$M$3:$P$200,4,0))</f>
        <v>Санкт-Петербург</v>
      </c>
      <c r="J5" s="46" t="str">
        <f>IF(ISNA($O5),"",IF($O5=0,"",$O5))</f>
        <v>RollerPride</v>
      </c>
      <c r="K5" s="49">
        <f>IF($E5&gt;0,RANK($Q5,$Q$4:$Q$50,1),"")</f>
        <v>2</v>
      </c>
      <c r="L5" s="24"/>
      <c r="M5" s="24"/>
      <c r="N5" s="24">
        <f>VLOOKUP(1,Reg!$F$2:$M$202,8,0)</f>
        <v>48</v>
      </c>
      <c r="O5" s="25" t="str">
        <f>VLOOKUP($B5,Reg!$M$3:$Q$202,5,0)</f>
        <v>RollerPride</v>
      </c>
      <c r="P5" s="25">
        <f>INT((E5+G5)/60)</f>
        <v>0</v>
      </c>
      <c r="Q5" s="47">
        <f>IF($E5&gt;0,$E5+$G5,1000)</f>
        <v>47.59</v>
      </c>
      <c r="R5" s="25">
        <v>1</v>
      </c>
    </row>
    <row r="6" spans="1:18" s="25" customFormat="1" ht="15" customHeight="1" x14ac:dyDescent="0.2">
      <c r="A6" s="26">
        <f>IF($B6="","",ROW()-3)</f>
        <v>3</v>
      </c>
      <c r="B6" s="29">
        <f>IF(ISNA($N6),"",$N6)</f>
        <v>43</v>
      </c>
      <c r="C6" s="43" t="str">
        <f>IF(ISNA($N6),"",VLOOKUP($B6,Reg!$M$3:$N$202,2,0))</f>
        <v>Козловская Александра</v>
      </c>
      <c r="D6" s="31">
        <f>IF(ISNA($N6),"",VLOOKUP($B6,Reg!$M$3:$O$202,3,0))</f>
        <v>37812</v>
      </c>
      <c r="E6" s="35">
        <v>50.82</v>
      </c>
      <c r="F6" s="41">
        <v>1</v>
      </c>
      <c r="G6" s="36">
        <f>IF(ISBLANK($E6),"",IF(ISBLANK($F6),0,$F6*2))</f>
        <v>2</v>
      </c>
      <c r="H6" s="38" t="str">
        <f>IF(ISBLANK($E6),"",TEXT($P6,"###")&amp;IF($P6=0,""," мин ")&amp;TEXT($E6+$G6-$P6*60,"###,###")&amp;" с")</f>
        <v>52,82 с</v>
      </c>
      <c r="I6" s="29" t="str">
        <f>IF(ISNA($N6),"",VLOOKUP($B6,Reg!$M$3:$P$200,4,0))</f>
        <v>Ульяновск</v>
      </c>
      <c r="J6" s="46" t="str">
        <f>IF(ISNA($O6),"",IF($O6=0,"",$O6))</f>
        <v xml:space="preserve"> </v>
      </c>
      <c r="K6" s="49">
        <f>IF($E6&gt;0,RANK($Q6,$Q$4:$Q$50,1),"")</f>
        <v>3</v>
      </c>
      <c r="L6" s="27"/>
      <c r="M6" s="27"/>
      <c r="N6" s="24">
        <f>VLOOKUP(4,Reg!$F$2:$M$202,8,0)</f>
        <v>43</v>
      </c>
      <c r="O6" s="25" t="str">
        <f>VLOOKUP($B6,Reg!$M$3:$Q$202,5,0)</f>
        <v xml:space="preserve"> </v>
      </c>
      <c r="P6" s="25">
        <f>INT((E6+G6)/60)</f>
        <v>0</v>
      </c>
      <c r="Q6" s="47">
        <f>IF($E6&gt;0,$E6+$G6,1000)</f>
        <v>52.82</v>
      </c>
      <c r="R6" s="25">
        <v>4</v>
      </c>
    </row>
    <row r="7" spans="1:18" s="25" customFormat="1" ht="15" customHeight="1" x14ac:dyDescent="0.2">
      <c r="A7" s="26">
        <f>IF($B7="","",ROW()-3)</f>
        <v>4</v>
      </c>
      <c r="B7" s="29">
        <f>IF(ISNA($N7),"",$N7)</f>
        <v>9</v>
      </c>
      <c r="C7" s="43" t="str">
        <f>IF(ISNA($N7),"",VLOOKUP($B7,Reg!$M$3:$N$202,2,0))</f>
        <v>Зиннатуллина Регина</v>
      </c>
      <c r="D7" s="31">
        <f>IF(ISNA($N7),"",VLOOKUP($B7,Reg!$M$3:$O$202,3,0))</f>
        <v>37775</v>
      </c>
      <c r="E7" s="35">
        <v>54.960999999999999</v>
      </c>
      <c r="F7" s="41">
        <v>3</v>
      </c>
      <c r="G7" s="36">
        <f>IF(ISBLANK($E7),"",IF(ISBLANK($F7),0,$F7*2))</f>
        <v>6</v>
      </c>
      <c r="H7" s="38" t="str">
        <f>IF(ISBLANK($E7),"",TEXT($P7,"###")&amp;IF($P7=0,""," мин ")&amp;TEXT($E7+$G7-$P7*60,"###,###")&amp;" с")</f>
        <v>1 мин ,961 с</v>
      </c>
      <c r="I7" s="29" t="str">
        <f>IF(ISNA($N7),"",VLOOKUP($B7,Reg!$M$3:$P$200,4,0))</f>
        <v>Ульяновск</v>
      </c>
      <c r="J7" s="46" t="str">
        <f>IF(ISNA($O7),"",IF($O7=0,"",$O7))</f>
        <v>Jerzy</v>
      </c>
      <c r="K7" s="49">
        <f>IF($E7&gt;0,RANK($Q7,$Q$4:$Q$50,1),"")</f>
        <v>4</v>
      </c>
      <c r="L7" s="24"/>
      <c r="M7" s="24"/>
      <c r="N7" s="24">
        <f>VLOOKUP(3,Reg!$F$2:$M$202,8,0)</f>
        <v>9</v>
      </c>
      <c r="O7" s="25" t="str">
        <f>VLOOKUP($B7,Reg!$M$3:$Q$202,5,0)</f>
        <v>Jerzy</v>
      </c>
      <c r="P7" s="25">
        <f>INT((E7+G7)/60)</f>
        <v>1</v>
      </c>
      <c r="Q7" s="47">
        <f>IF($E7&gt;0,$E7+$G7,1000)</f>
        <v>60.960999999999999</v>
      </c>
      <c r="R7" s="25">
        <v>3</v>
      </c>
    </row>
    <row r="8" spans="1:18" s="25" customFormat="1" ht="15" customHeight="1" x14ac:dyDescent="0.2">
      <c r="A8" s="26">
        <f>IF($B8="","",ROW()-3)</f>
        <v>5</v>
      </c>
      <c r="B8" s="29">
        <f>IF(ISNA($N8),"",$N8)</f>
        <v>7</v>
      </c>
      <c r="C8" s="43" t="str">
        <f>IF(ISNA($N8),"",VLOOKUP($B8,Reg!$M$3:$N$202,2,0))</f>
        <v>Гороховец Елизавета</v>
      </c>
      <c r="D8" s="31">
        <f>IF(ISNA($N8),"",VLOOKUP($B8,Reg!$M$3:$O$202,3,0))</f>
        <v>37586</v>
      </c>
      <c r="E8" s="35">
        <v>60.533000000000001</v>
      </c>
      <c r="F8" s="41">
        <v>2</v>
      </c>
      <c r="G8" s="36">
        <f>IF(ISBLANK($E8),"",IF(ISBLANK($F8),0,$F8*2))</f>
        <v>4</v>
      </c>
      <c r="H8" s="38" t="str">
        <f>IF(ISBLANK($E8),"",TEXT($P8,"###")&amp;IF($P8=0,""," мин ")&amp;TEXT($E8+$G8-$P8*60,"###,###")&amp;" с")</f>
        <v>1 мин 4,533 с</v>
      </c>
      <c r="I8" s="29" t="str">
        <f>IF(ISNA($N8),"",VLOOKUP($B8,Reg!$M$3:$P$200,4,0))</f>
        <v>Ульяновск</v>
      </c>
      <c r="J8" s="46" t="str">
        <f>IF(ISNA($O8),"",IF($O8=0,"",$O8))</f>
        <v>UNITY</v>
      </c>
      <c r="K8" s="49">
        <f>IF($E8&gt;0,RANK($Q8,$Q$4:$Q$50,1),"")</f>
        <v>5</v>
      </c>
      <c r="L8" s="27"/>
      <c r="M8" s="27"/>
      <c r="N8" s="24">
        <f>VLOOKUP(2,Reg!$F$2:$M$202,8,0)</f>
        <v>7</v>
      </c>
      <c r="O8" s="25" t="str">
        <f>VLOOKUP($B8,Reg!$M$3:$Q$202,5,0)</f>
        <v>UNITY</v>
      </c>
      <c r="P8" s="25">
        <f>INT((E8+G8)/60)</f>
        <v>1</v>
      </c>
      <c r="Q8" s="47">
        <f>IF($E8&gt;0,$E8+$G8,1000)</f>
        <v>64.533000000000001</v>
      </c>
      <c r="R8" s="25">
        <v>2</v>
      </c>
    </row>
    <row r="9" spans="1:18" s="25" customFormat="1" ht="15" customHeight="1" x14ac:dyDescent="0.2">
      <c r="A9" s="26">
        <f>IF($B9="","",ROW()-3)</f>
        <v>6</v>
      </c>
      <c r="B9" s="29">
        <f>IF(ISNA($N9),"",$N9)</f>
        <v>15</v>
      </c>
      <c r="C9" s="43" t="str">
        <f>IF(ISNA($N9),"",VLOOKUP($B9,Reg!$M$3:$N$202,2,0))</f>
        <v>Хисаметдинова Динара</v>
      </c>
      <c r="D9" s="31">
        <f>IF(ISNA($N9),"",VLOOKUP($B9,Reg!$M$3:$O$202,3,0))</f>
        <v>37981</v>
      </c>
      <c r="E9" s="35">
        <v>69.691999999999993</v>
      </c>
      <c r="F9" s="41">
        <v>2</v>
      </c>
      <c r="G9" s="36">
        <f>IF(ISBLANK($E9),"",IF(ISBLANK($F9),0,$F9*2))</f>
        <v>4</v>
      </c>
      <c r="H9" s="38" t="str">
        <f>IF(ISBLANK($E9),"",TEXT($P9,"###")&amp;IF($P9=0,""," мин ")&amp;TEXT($E9+$G9-$P9*60,"###,###")&amp;" с")</f>
        <v>1 мин 13,692 с</v>
      </c>
      <c r="I9" s="29" t="str">
        <f>IF(ISNA($N9),"",VLOOKUP($B9,Reg!$M$3:$P$200,4,0))</f>
        <v>Ульяновск</v>
      </c>
      <c r="J9" s="46" t="str">
        <f>IF(ISNA($O9),"",IF($O9=0,"",$O9))</f>
        <v>Jerzy</v>
      </c>
      <c r="K9" s="49">
        <f>IF($E9&gt;0,RANK($Q9,$Q$4:$Q$50,1),"")</f>
        <v>6</v>
      </c>
      <c r="L9" s="27"/>
      <c r="M9" s="27"/>
      <c r="N9" s="24">
        <f>VLOOKUP(6,Reg!$F$2:$M$202,8,0)</f>
        <v>15</v>
      </c>
      <c r="O9" s="25" t="str">
        <f>VLOOKUP($B9,Reg!$M$3:$Q$202,5,0)</f>
        <v>Jerzy</v>
      </c>
      <c r="P9" s="25">
        <f>INT((E9+G9)/60)</f>
        <v>1</v>
      </c>
      <c r="Q9" s="47">
        <f>IF($E9&gt;0,$E9+$G9,1000)</f>
        <v>73.691999999999993</v>
      </c>
      <c r="R9" s="25">
        <v>6</v>
      </c>
    </row>
    <row r="10" spans="1:18" s="25" customFormat="1" ht="15" customHeight="1" x14ac:dyDescent="0.2">
      <c r="A10" s="26" t="str">
        <f t="shared" ref="A4:A43" si="0">IF($B10="","",ROW()-3)</f>
        <v/>
      </c>
      <c r="B10" s="29" t="str">
        <f t="shared" ref="B4:B43" si="1">IF(ISNA($N10),"",$N10)</f>
        <v/>
      </c>
      <c r="C10" s="43" t="str">
        <f>IF(ISNA($N10),"",VLOOKUP($B10,Reg!$M$3:$N$202,2,0))</f>
        <v/>
      </c>
      <c r="D10" s="31" t="str">
        <f>IF(ISNA($N10),"",VLOOKUP($B10,Reg!$M$3:$O$202,3,0))</f>
        <v/>
      </c>
      <c r="E10" s="35"/>
      <c r="F10" s="41"/>
      <c r="G10" s="36" t="str">
        <f t="shared" ref="G4:G43" si="2">IF(ISBLANK($E10),"",IF(ISBLANK($F10),0,$F10*2))</f>
        <v/>
      </c>
      <c r="H10" s="38" t="str">
        <f t="shared" ref="H4:H43" si="3">IF(ISBLANK($E10),"",TEXT($P10,"###")&amp;IF($P10=0,""," мин ")&amp;TEXT($E10+$G10-$P10*60,"###,###")&amp;" с")</f>
        <v/>
      </c>
      <c r="I10" s="29" t="str">
        <f>IF(ISNA($N10),"",VLOOKUP($B10,Reg!$M$3:$P$200,4,0))</f>
        <v/>
      </c>
      <c r="J10" s="46" t="str">
        <f t="shared" ref="J4:J43" si="4">IF(ISNA($O10),"",IF($O10=0,"",$O10))</f>
        <v/>
      </c>
      <c r="K10" s="49" t="str">
        <f t="shared" ref="K4:K43" si="5">IF($E10&gt;0,RANK($Q10,$Q$4:$Q$50,1),"")</f>
        <v/>
      </c>
      <c r="L10" s="24"/>
      <c r="M10" s="24"/>
      <c r="N10" s="24" t="e">
        <f>VLOOKUP(7,Reg!$F$2:$M$202,8,0)</f>
        <v>#N/A</v>
      </c>
      <c r="O10" s="25" t="e">
        <f>VLOOKUP($B10,Reg!$M$3:$Q$202,5,0)</f>
        <v>#N/A</v>
      </c>
      <c r="P10" s="25" t="e">
        <f t="shared" ref="P4:P43" si="6">INT((E10+G10)/60)</f>
        <v>#VALUE!</v>
      </c>
      <c r="Q10" s="47">
        <f t="shared" ref="Q4:Q43" si="7">IF($E10&gt;0,$E10+$G10,1000)</f>
        <v>1000</v>
      </c>
      <c r="R10" s="25">
        <v>7</v>
      </c>
    </row>
    <row r="11" spans="1:18" s="25" customFormat="1" ht="15" customHeight="1" x14ac:dyDescent="0.2">
      <c r="A11" s="26" t="str">
        <f t="shared" si="0"/>
        <v/>
      </c>
      <c r="B11" s="29" t="str">
        <f t="shared" si="1"/>
        <v/>
      </c>
      <c r="C11" s="43" t="str">
        <f>IF(ISNA($N11),"",VLOOKUP($B11,Reg!$M$3:$N$202,2,0))</f>
        <v/>
      </c>
      <c r="D11" s="31" t="str">
        <f>IF(ISNA($N11),"",VLOOKUP($B11,Reg!$M$3:$O$202,3,0))</f>
        <v/>
      </c>
      <c r="E11" s="35"/>
      <c r="F11" s="41"/>
      <c r="G11" s="36" t="str">
        <f t="shared" si="2"/>
        <v/>
      </c>
      <c r="H11" s="38" t="str">
        <f t="shared" si="3"/>
        <v/>
      </c>
      <c r="I11" s="29" t="str">
        <f>IF(ISNA($N11),"",VLOOKUP($B11,Reg!$M$3:$P$200,4,0))</f>
        <v/>
      </c>
      <c r="J11" s="46" t="str">
        <f t="shared" si="4"/>
        <v/>
      </c>
      <c r="K11" s="49" t="str">
        <f t="shared" si="5"/>
        <v/>
      </c>
      <c r="L11" s="27"/>
      <c r="M11" s="27"/>
      <c r="N11" s="24" t="e">
        <f>VLOOKUP(8,Reg!$F$2:$M$202,8,0)</f>
        <v>#N/A</v>
      </c>
      <c r="O11" s="25" t="e">
        <f>VLOOKUP($B11,Reg!$M$3:$Q$202,5,0)</f>
        <v>#N/A</v>
      </c>
      <c r="P11" s="25" t="e">
        <f t="shared" si="6"/>
        <v>#VALUE!</v>
      </c>
      <c r="Q11" s="47">
        <f t="shared" si="7"/>
        <v>1000</v>
      </c>
      <c r="R11" s="25">
        <v>8</v>
      </c>
    </row>
    <row r="12" spans="1:18" s="25" customFormat="1" ht="15" customHeight="1" x14ac:dyDescent="0.2">
      <c r="A12" s="26" t="str">
        <f t="shared" si="0"/>
        <v/>
      </c>
      <c r="B12" s="29" t="str">
        <f t="shared" si="1"/>
        <v/>
      </c>
      <c r="C12" s="43" t="str">
        <f>IF(ISNA($N12),"",VLOOKUP($B12,Reg!$M$3:$N$202,2,0))</f>
        <v/>
      </c>
      <c r="D12" s="31" t="str">
        <f>IF(ISNA($N12),"",VLOOKUP($B12,Reg!$M$3:$O$202,3,0))</f>
        <v/>
      </c>
      <c r="E12" s="35"/>
      <c r="F12" s="41"/>
      <c r="G12" s="36" t="str">
        <f t="shared" si="2"/>
        <v/>
      </c>
      <c r="H12" s="38" t="str">
        <f t="shared" si="3"/>
        <v/>
      </c>
      <c r="I12" s="29" t="str">
        <f>IF(ISNA($N12),"",VLOOKUP($B12,Reg!$M$3:$P$200,4,0))</f>
        <v/>
      </c>
      <c r="J12" s="46" t="str">
        <f t="shared" si="4"/>
        <v/>
      </c>
      <c r="K12" s="49" t="str">
        <f t="shared" si="5"/>
        <v/>
      </c>
      <c r="L12" s="27"/>
      <c r="M12" s="27"/>
      <c r="N12" s="24" t="e">
        <f>VLOOKUP(9,Reg!$F$2:$M$202,8,0)</f>
        <v>#N/A</v>
      </c>
      <c r="O12" s="25" t="e">
        <f>VLOOKUP($B12,Reg!$M$3:$Q$202,5,0)</f>
        <v>#N/A</v>
      </c>
      <c r="P12" s="25" t="e">
        <f t="shared" si="6"/>
        <v>#VALUE!</v>
      </c>
      <c r="Q12" s="47">
        <f t="shared" si="7"/>
        <v>1000</v>
      </c>
      <c r="R12" s="25">
        <v>9</v>
      </c>
    </row>
    <row r="13" spans="1:18" ht="15" customHeight="1" x14ac:dyDescent="0.2">
      <c r="A13" s="26" t="str">
        <f t="shared" si="0"/>
        <v/>
      </c>
      <c r="B13" s="29" t="str">
        <f t="shared" si="1"/>
        <v/>
      </c>
      <c r="C13" s="43" t="str">
        <f>IF(ISNA($N13),"",VLOOKUP($B13,Reg!$M$3:$N$202,2,0))</f>
        <v/>
      </c>
      <c r="D13" s="31" t="str">
        <f>IF(ISNA($N13),"",VLOOKUP($B13,Reg!$M$3:$O$202,3,0))</f>
        <v/>
      </c>
      <c r="E13" s="35"/>
      <c r="F13" s="41"/>
      <c r="G13" s="36" t="str">
        <f t="shared" si="2"/>
        <v/>
      </c>
      <c r="H13" s="38" t="str">
        <f t="shared" si="3"/>
        <v/>
      </c>
      <c r="I13" s="29" t="str">
        <f>IF(ISNA($N13),"",VLOOKUP($B13,Reg!$M$3:$P$200,4,0))</f>
        <v/>
      </c>
      <c r="J13" s="46" t="str">
        <f t="shared" si="4"/>
        <v/>
      </c>
      <c r="K13" s="49" t="str">
        <f t="shared" si="5"/>
        <v/>
      </c>
      <c r="L13" s="27"/>
      <c r="M13" s="27"/>
      <c r="N13" s="24" t="e">
        <f>VLOOKUP(10,Reg!$F$2:$M$202,8,0)</f>
        <v>#N/A</v>
      </c>
      <c r="O13" s="25" t="e">
        <f>VLOOKUP($B13,Reg!$M$3:$Q$202,5,0)</f>
        <v>#N/A</v>
      </c>
      <c r="P13" s="25" t="e">
        <f t="shared" si="6"/>
        <v>#VALUE!</v>
      </c>
      <c r="Q13" s="47">
        <f t="shared" si="7"/>
        <v>1000</v>
      </c>
      <c r="R13" s="54">
        <v>10</v>
      </c>
    </row>
    <row r="14" spans="1:18" ht="15" customHeight="1" x14ac:dyDescent="0.2">
      <c r="A14" s="26" t="str">
        <f t="shared" si="0"/>
        <v/>
      </c>
      <c r="B14" s="29" t="str">
        <f t="shared" si="1"/>
        <v/>
      </c>
      <c r="C14" s="43" t="str">
        <f>IF(ISNA($N14),"",VLOOKUP($B14,Reg!$M$3:$N$202,2,0))</f>
        <v/>
      </c>
      <c r="D14" s="31" t="str">
        <f>IF(ISNA($N14),"",VLOOKUP($B14,Reg!$M$3:$O$202,3,0))</f>
        <v/>
      </c>
      <c r="E14" s="35"/>
      <c r="F14" s="41"/>
      <c r="G14" s="36" t="str">
        <f t="shared" si="2"/>
        <v/>
      </c>
      <c r="H14" s="38" t="str">
        <f t="shared" si="3"/>
        <v/>
      </c>
      <c r="I14" s="29" t="str">
        <f>IF(ISNA($N14),"",VLOOKUP($B14,Reg!$M$3:$P$200,4,0))</f>
        <v/>
      </c>
      <c r="J14" s="46" t="str">
        <f t="shared" si="4"/>
        <v/>
      </c>
      <c r="K14" s="49" t="str">
        <f t="shared" si="5"/>
        <v/>
      </c>
      <c r="L14" s="27"/>
      <c r="M14" s="27"/>
      <c r="N14" s="24" t="e">
        <f>VLOOKUP(11,Reg!$F$2:$M$202,8,0)</f>
        <v>#N/A</v>
      </c>
      <c r="O14" s="25" t="e">
        <f>VLOOKUP($B14,Reg!$M$3:$Q$202,5,0)</f>
        <v>#N/A</v>
      </c>
      <c r="P14" s="25" t="e">
        <f t="shared" si="6"/>
        <v>#VALUE!</v>
      </c>
      <c r="Q14" s="47">
        <f t="shared" si="7"/>
        <v>1000</v>
      </c>
      <c r="R14" s="54">
        <v>11</v>
      </c>
    </row>
    <row r="15" spans="1:18" ht="15" customHeight="1" x14ac:dyDescent="0.2">
      <c r="A15" s="26" t="str">
        <f t="shared" si="0"/>
        <v/>
      </c>
      <c r="B15" s="29" t="str">
        <f t="shared" si="1"/>
        <v/>
      </c>
      <c r="C15" s="43" t="str">
        <f>IF(ISNA($N15),"",VLOOKUP($B15,Reg!$M$3:$N$202,2,0))</f>
        <v/>
      </c>
      <c r="D15" s="31" t="str">
        <f>IF(ISNA($N15),"",VLOOKUP($B15,Reg!$M$3:$O$202,3,0))</f>
        <v/>
      </c>
      <c r="E15" s="35"/>
      <c r="F15" s="41"/>
      <c r="G15" s="36" t="str">
        <f t="shared" si="2"/>
        <v/>
      </c>
      <c r="H15" s="38" t="str">
        <f t="shared" si="3"/>
        <v/>
      </c>
      <c r="I15" s="29" t="str">
        <f>IF(ISNA($N15),"",VLOOKUP($B15,Reg!$M$3:$P$200,4,0))</f>
        <v/>
      </c>
      <c r="J15" s="46" t="str">
        <f t="shared" si="4"/>
        <v/>
      </c>
      <c r="K15" s="49" t="str">
        <f t="shared" si="5"/>
        <v/>
      </c>
      <c r="L15" s="27"/>
      <c r="M15" s="27"/>
      <c r="N15" s="24" t="e">
        <f>VLOOKUP(12,Reg!$F$2:$M$202,8,0)</f>
        <v>#N/A</v>
      </c>
      <c r="O15" s="25" t="e">
        <f>VLOOKUP($B15,Reg!$M$3:$Q$202,5,0)</f>
        <v>#N/A</v>
      </c>
      <c r="P15" s="25" t="e">
        <f t="shared" si="6"/>
        <v>#VALUE!</v>
      </c>
      <c r="Q15" s="47">
        <f t="shared" si="7"/>
        <v>1000</v>
      </c>
      <c r="R15" s="54">
        <v>12</v>
      </c>
    </row>
    <row r="16" spans="1:18" ht="15" customHeight="1" x14ac:dyDescent="0.2">
      <c r="A16" s="26" t="str">
        <f t="shared" si="0"/>
        <v/>
      </c>
      <c r="B16" s="29" t="str">
        <f t="shared" si="1"/>
        <v/>
      </c>
      <c r="C16" s="43" t="str">
        <f>IF(ISNA($N16),"",VLOOKUP($B16,Reg!$M$3:$N$202,2,0))</f>
        <v/>
      </c>
      <c r="D16" s="31" t="str">
        <f>IF(ISNA($N16),"",VLOOKUP($B16,Reg!$M$3:$O$202,3,0))</f>
        <v/>
      </c>
      <c r="E16" s="35"/>
      <c r="F16" s="41"/>
      <c r="G16" s="36" t="str">
        <f t="shared" si="2"/>
        <v/>
      </c>
      <c r="H16" s="38" t="str">
        <f t="shared" si="3"/>
        <v/>
      </c>
      <c r="I16" s="29" t="str">
        <f>IF(ISNA($N16),"",VLOOKUP($B16,Reg!$M$3:$P$200,4,0))</f>
        <v/>
      </c>
      <c r="J16" s="46" t="str">
        <f t="shared" si="4"/>
        <v/>
      </c>
      <c r="K16" s="49" t="str">
        <f t="shared" si="5"/>
        <v/>
      </c>
      <c r="L16" s="27"/>
      <c r="M16" s="27"/>
      <c r="N16" s="24" t="e">
        <f>VLOOKUP(13,Reg!$F$2:$M$202,8,0)</f>
        <v>#N/A</v>
      </c>
      <c r="O16" s="25" t="e">
        <f>VLOOKUP($B16,Reg!$M$3:$Q$202,5,0)</f>
        <v>#N/A</v>
      </c>
      <c r="P16" s="25" t="e">
        <f t="shared" si="6"/>
        <v>#VALUE!</v>
      </c>
      <c r="Q16" s="47">
        <f t="shared" si="7"/>
        <v>1000</v>
      </c>
      <c r="R16" s="54">
        <v>13</v>
      </c>
    </row>
    <row r="17" spans="1:18" ht="15" customHeight="1" x14ac:dyDescent="0.2">
      <c r="A17" s="26" t="str">
        <f t="shared" si="0"/>
        <v/>
      </c>
      <c r="B17" s="29" t="str">
        <f t="shared" si="1"/>
        <v/>
      </c>
      <c r="C17" s="43" t="str">
        <f>IF(ISNA($N17),"",VLOOKUP($B17,Reg!$M$3:$N$202,2,0))</f>
        <v/>
      </c>
      <c r="D17" s="31" t="str">
        <f>IF(ISNA($N17),"",VLOOKUP($B17,Reg!$M$3:$O$202,3,0))</f>
        <v/>
      </c>
      <c r="E17" s="35"/>
      <c r="F17" s="41"/>
      <c r="G17" s="36" t="str">
        <f t="shared" si="2"/>
        <v/>
      </c>
      <c r="H17" s="38" t="str">
        <f t="shared" si="3"/>
        <v/>
      </c>
      <c r="I17" s="29" t="str">
        <f>IF(ISNA($N17),"",VLOOKUP($B17,Reg!$M$3:$P$200,4,0))</f>
        <v/>
      </c>
      <c r="J17" s="46" t="str">
        <f t="shared" si="4"/>
        <v/>
      </c>
      <c r="K17" s="49" t="str">
        <f t="shared" si="5"/>
        <v/>
      </c>
      <c r="L17" s="24"/>
      <c r="M17" s="24"/>
      <c r="N17" s="24" t="e">
        <f>VLOOKUP(14,Reg!$F$2:$M$202,8,0)</f>
        <v>#N/A</v>
      </c>
      <c r="O17" s="25" t="e">
        <f>VLOOKUP($B17,Reg!$M$3:$Q$202,5,0)</f>
        <v>#N/A</v>
      </c>
      <c r="P17" s="25" t="e">
        <f t="shared" si="6"/>
        <v>#VALUE!</v>
      </c>
      <c r="Q17" s="47">
        <f t="shared" si="7"/>
        <v>1000</v>
      </c>
      <c r="R17" s="54">
        <v>14</v>
      </c>
    </row>
    <row r="18" spans="1:18" ht="15" customHeight="1" x14ac:dyDescent="0.2">
      <c r="A18" s="26" t="str">
        <f t="shared" si="0"/>
        <v/>
      </c>
      <c r="B18" s="29" t="str">
        <f t="shared" si="1"/>
        <v/>
      </c>
      <c r="C18" s="43" t="str">
        <f>IF(ISNA($N18),"",VLOOKUP($B18,Reg!$M$3:$N$202,2,0))</f>
        <v/>
      </c>
      <c r="D18" s="31" t="str">
        <f>IF(ISNA($N18),"",VLOOKUP($B18,Reg!$M$3:$O$202,3,0))</f>
        <v/>
      </c>
      <c r="E18" s="35"/>
      <c r="F18" s="41"/>
      <c r="G18" s="36" t="str">
        <f t="shared" si="2"/>
        <v/>
      </c>
      <c r="H18" s="38" t="str">
        <f t="shared" si="3"/>
        <v/>
      </c>
      <c r="I18" s="29" t="str">
        <f>IF(ISNA($N18),"",VLOOKUP($B18,Reg!$M$3:$P$200,4,0))</f>
        <v/>
      </c>
      <c r="J18" s="46" t="str">
        <f t="shared" si="4"/>
        <v/>
      </c>
      <c r="K18" s="49" t="str">
        <f t="shared" si="5"/>
        <v/>
      </c>
      <c r="L18" s="27"/>
      <c r="M18" s="27"/>
      <c r="N18" s="24" t="e">
        <f>VLOOKUP(15,Reg!$F$2:$M$202,8,0)</f>
        <v>#N/A</v>
      </c>
      <c r="O18" s="25" t="e">
        <f>VLOOKUP($B18,Reg!$M$3:$Q$202,5,0)</f>
        <v>#N/A</v>
      </c>
      <c r="P18" s="25" t="e">
        <f t="shared" si="6"/>
        <v>#VALUE!</v>
      </c>
      <c r="Q18" s="47">
        <f t="shared" si="7"/>
        <v>1000</v>
      </c>
      <c r="R18" s="54">
        <v>15</v>
      </c>
    </row>
    <row r="19" spans="1:18" ht="15" customHeight="1" x14ac:dyDescent="0.2">
      <c r="A19" s="26" t="str">
        <f t="shared" si="0"/>
        <v/>
      </c>
      <c r="B19" s="29" t="str">
        <f t="shared" si="1"/>
        <v/>
      </c>
      <c r="C19" s="43" t="str">
        <f>IF(ISNA($N19),"",VLOOKUP($B19,Reg!$M$3:$N$202,2,0))</f>
        <v/>
      </c>
      <c r="D19" s="31" t="str">
        <f>IF(ISNA($N19),"",VLOOKUP($B19,Reg!$M$3:$O$202,3,0))</f>
        <v/>
      </c>
      <c r="E19" s="35"/>
      <c r="F19" s="41"/>
      <c r="G19" s="36" t="str">
        <f t="shared" si="2"/>
        <v/>
      </c>
      <c r="H19" s="38" t="str">
        <f t="shared" si="3"/>
        <v/>
      </c>
      <c r="I19" s="29" t="str">
        <f>IF(ISNA($N19),"",VLOOKUP($B19,Reg!$M$3:$P$200,4,0))</f>
        <v/>
      </c>
      <c r="J19" s="46" t="str">
        <f t="shared" si="4"/>
        <v/>
      </c>
      <c r="K19" s="49" t="str">
        <f t="shared" si="5"/>
        <v/>
      </c>
      <c r="L19" s="27"/>
      <c r="M19" s="27"/>
      <c r="N19" s="24" t="e">
        <f>VLOOKUP(16,Reg!$F$2:$M$202,8,0)</f>
        <v>#N/A</v>
      </c>
      <c r="O19" s="25" t="e">
        <f>VLOOKUP($B19,Reg!$M$3:$Q$202,5,0)</f>
        <v>#N/A</v>
      </c>
      <c r="P19" s="25" t="e">
        <f t="shared" si="6"/>
        <v>#VALUE!</v>
      </c>
      <c r="Q19" s="47">
        <f t="shared" si="7"/>
        <v>1000</v>
      </c>
      <c r="R19" s="54">
        <v>16</v>
      </c>
    </row>
    <row r="20" spans="1:18" ht="15" customHeight="1" x14ac:dyDescent="0.2">
      <c r="A20" s="26" t="str">
        <f t="shared" si="0"/>
        <v/>
      </c>
      <c r="B20" s="29" t="str">
        <f t="shared" si="1"/>
        <v/>
      </c>
      <c r="C20" s="43" t="str">
        <f>IF(ISNA($N20),"",VLOOKUP($B20,Reg!$M$3:$N$202,2,0))</f>
        <v/>
      </c>
      <c r="D20" s="31" t="str">
        <f>IF(ISNA($N20),"",VLOOKUP($B20,Reg!$M$3:$O$202,3,0))</f>
        <v/>
      </c>
      <c r="E20" s="35"/>
      <c r="F20" s="41"/>
      <c r="G20" s="36" t="str">
        <f t="shared" si="2"/>
        <v/>
      </c>
      <c r="H20" s="38" t="str">
        <f t="shared" si="3"/>
        <v/>
      </c>
      <c r="I20" s="29" t="str">
        <f>IF(ISNA($N20),"",VLOOKUP($B20,Reg!$M$3:$P$200,4,0))</f>
        <v/>
      </c>
      <c r="J20" s="46" t="str">
        <f t="shared" si="4"/>
        <v/>
      </c>
      <c r="K20" s="49" t="str">
        <f t="shared" si="5"/>
        <v/>
      </c>
      <c r="L20" s="24"/>
      <c r="M20" s="24"/>
      <c r="N20" s="24" t="e">
        <f>VLOOKUP(17,Reg!$F$2:$M$202,8,0)</f>
        <v>#N/A</v>
      </c>
      <c r="O20" s="25" t="e">
        <f>VLOOKUP($B20,Reg!$M$3:$Q$202,5,0)</f>
        <v>#N/A</v>
      </c>
      <c r="P20" s="25" t="e">
        <f t="shared" si="6"/>
        <v>#VALUE!</v>
      </c>
      <c r="Q20" s="47">
        <f t="shared" si="7"/>
        <v>1000</v>
      </c>
      <c r="R20" s="54">
        <v>17</v>
      </c>
    </row>
    <row r="21" spans="1:18" ht="15" customHeight="1" x14ac:dyDescent="0.2">
      <c r="A21" s="26" t="str">
        <f t="shared" si="0"/>
        <v/>
      </c>
      <c r="B21" s="29" t="str">
        <f t="shared" si="1"/>
        <v/>
      </c>
      <c r="C21" s="43" t="str">
        <f>IF(ISNA($N21),"",VLOOKUP($B21,Reg!$M$3:$N$202,2,0))</f>
        <v/>
      </c>
      <c r="D21" s="31" t="str">
        <f>IF(ISNA($N21),"",VLOOKUP($B21,Reg!$M$3:$O$202,3,0))</f>
        <v/>
      </c>
      <c r="E21" s="35"/>
      <c r="F21" s="41"/>
      <c r="G21" s="36" t="str">
        <f t="shared" si="2"/>
        <v/>
      </c>
      <c r="H21" s="38" t="str">
        <f t="shared" si="3"/>
        <v/>
      </c>
      <c r="I21" s="29" t="str">
        <f>IF(ISNA($N21),"",VLOOKUP($B21,Reg!$M$3:$P$200,4,0))</f>
        <v/>
      </c>
      <c r="J21" s="46" t="str">
        <f t="shared" si="4"/>
        <v/>
      </c>
      <c r="K21" s="49" t="str">
        <f t="shared" si="5"/>
        <v/>
      </c>
      <c r="L21" s="24"/>
      <c r="M21" s="24"/>
      <c r="N21" s="24" t="e">
        <f>VLOOKUP(18,Reg!$F$2:$M$202,8,0)</f>
        <v>#N/A</v>
      </c>
      <c r="O21" s="25" t="e">
        <f>VLOOKUP($B21,Reg!$M$3:$Q$202,5,0)</f>
        <v>#N/A</v>
      </c>
      <c r="P21" s="25" t="e">
        <f t="shared" si="6"/>
        <v>#VALUE!</v>
      </c>
      <c r="Q21" s="47">
        <f t="shared" si="7"/>
        <v>1000</v>
      </c>
      <c r="R21" s="54">
        <v>18</v>
      </c>
    </row>
    <row r="22" spans="1:18" ht="15" customHeight="1" x14ac:dyDescent="0.2">
      <c r="A22" s="26" t="str">
        <f t="shared" si="0"/>
        <v/>
      </c>
      <c r="B22" s="29" t="str">
        <f t="shared" si="1"/>
        <v/>
      </c>
      <c r="C22" s="43" t="str">
        <f>IF(ISNA($N22),"",VLOOKUP($B22,Reg!$M$3:$N$202,2,0))</f>
        <v/>
      </c>
      <c r="D22" s="31" t="str">
        <f>IF(ISNA($N22),"",VLOOKUP($B22,Reg!$M$3:$O$202,3,0))</f>
        <v/>
      </c>
      <c r="E22" s="35"/>
      <c r="F22" s="41"/>
      <c r="G22" s="36" t="str">
        <f t="shared" si="2"/>
        <v/>
      </c>
      <c r="H22" s="38" t="str">
        <f t="shared" si="3"/>
        <v/>
      </c>
      <c r="I22" s="29" t="str">
        <f>IF(ISNA($N22),"",VLOOKUP($B22,Reg!$M$3:$P$200,4,0))</f>
        <v/>
      </c>
      <c r="J22" s="46" t="str">
        <f t="shared" si="4"/>
        <v/>
      </c>
      <c r="K22" s="49" t="str">
        <f t="shared" si="5"/>
        <v/>
      </c>
      <c r="L22" s="24"/>
      <c r="M22" s="24"/>
      <c r="N22" s="24" t="e">
        <f>VLOOKUP(19,Reg!$F$2:$M$202,8,0)</f>
        <v>#N/A</v>
      </c>
      <c r="O22" s="25" t="e">
        <f>VLOOKUP($B22,Reg!$M$3:$Q$202,5,0)</f>
        <v>#N/A</v>
      </c>
      <c r="P22" s="25" t="e">
        <f t="shared" si="6"/>
        <v>#VALUE!</v>
      </c>
      <c r="Q22" s="47">
        <f t="shared" si="7"/>
        <v>1000</v>
      </c>
      <c r="R22" s="54">
        <v>19</v>
      </c>
    </row>
    <row r="23" spans="1:18" ht="15" customHeight="1" x14ac:dyDescent="0.2">
      <c r="A23" s="26" t="str">
        <f t="shared" si="0"/>
        <v/>
      </c>
      <c r="B23" s="29" t="str">
        <f t="shared" si="1"/>
        <v/>
      </c>
      <c r="C23" s="43" t="str">
        <f>IF(ISNA($N23),"",VLOOKUP($B23,Reg!$M$3:$N$202,2,0))</f>
        <v/>
      </c>
      <c r="D23" s="31" t="str">
        <f>IF(ISNA($N23),"",VLOOKUP($B23,Reg!$M$3:$O$202,3,0))</f>
        <v/>
      </c>
      <c r="E23" s="35"/>
      <c r="F23" s="41"/>
      <c r="G23" s="36" t="str">
        <f t="shared" si="2"/>
        <v/>
      </c>
      <c r="H23" s="38" t="str">
        <f t="shared" si="3"/>
        <v/>
      </c>
      <c r="I23" s="29" t="str">
        <f>IF(ISNA($N23),"",VLOOKUP($B23,Reg!$M$3:$P$200,4,0))</f>
        <v/>
      </c>
      <c r="J23" s="46" t="str">
        <f t="shared" si="4"/>
        <v/>
      </c>
      <c r="K23" s="49" t="str">
        <f t="shared" si="5"/>
        <v/>
      </c>
      <c r="L23" s="24"/>
      <c r="M23" s="24"/>
      <c r="N23" s="24" t="e">
        <f>VLOOKUP(20,Reg!$F$2:$M$202,8,0)</f>
        <v>#N/A</v>
      </c>
      <c r="O23" s="25" t="e">
        <f>VLOOKUP($B23,Reg!$M$3:$Q$202,5,0)</f>
        <v>#N/A</v>
      </c>
      <c r="P23" s="25" t="e">
        <f t="shared" si="6"/>
        <v>#VALUE!</v>
      </c>
      <c r="Q23" s="47">
        <f t="shared" si="7"/>
        <v>1000</v>
      </c>
      <c r="R23" s="54">
        <v>20</v>
      </c>
    </row>
    <row r="24" spans="1:18" ht="15" customHeight="1" x14ac:dyDescent="0.2">
      <c r="A24" s="26" t="str">
        <f t="shared" si="0"/>
        <v/>
      </c>
      <c r="B24" s="29" t="str">
        <f t="shared" si="1"/>
        <v/>
      </c>
      <c r="C24" s="43" t="str">
        <f>IF(ISNA($N24),"",VLOOKUP($B24,Reg!$M$3:$N$202,2,0))</f>
        <v/>
      </c>
      <c r="D24" s="31" t="str">
        <f>IF(ISNA($N24),"",VLOOKUP($B24,Reg!$M$3:$O$202,3,0))</f>
        <v/>
      </c>
      <c r="E24" s="35"/>
      <c r="F24" s="41"/>
      <c r="G24" s="36" t="str">
        <f t="shared" si="2"/>
        <v/>
      </c>
      <c r="H24" s="38" t="str">
        <f t="shared" si="3"/>
        <v/>
      </c>
      <c r="I24" s="29" t="str">
        <f>IF(ISNA($N24),"",VLOOKUP($B24,Reg!$M$3:$P$200,4,0))</f>
        <v/>
      </c>
      <c r="J24" s="46" t="str">
        <f t="shared" si="4"/>
        <v/>
      </c>
      <c r="K24" s="49" t="str">
        <f t="shared" si="5"/>
        <v/>
      </c>
      <c r="L24" s="27"/>
      <c r="M24" s="27"/>
      <c r="N24" s="24" t="e">
        <f>VLOOKUP(21,Reg!$F$2:$M$202,8,0)</f>
        <v>#N/A</v>
      </c>
      <c r="O24" s="25" t="e">
        <f>VLOOKUP($B24,Reg!$M$3:$Q$202,5,0)</f>
        <v>#N/A</v>
      </c>
      <c r="P24" s="25" t="e">
        <f t="shared" si="6"/>
        <v>#VALUE!</v>
      </c>
      <c r="Q24" s="47">
        <f t="shared" si="7"/>
        <v>1000</v>
      </c>
      <c r="R24" s="54">
        <v>21</v>
      </c>
    </row>
    <row r="25" spans="1:18" ht="15" customHeight="1" x14ac:dyDescent="0.2">
      <c r="A25" s="26" t="str">
        <f t="shared" si="0"/>
        <v/>
      </c>
      <c r="B25" s="29" t="str">
        <f t="shared" si="1"/>
        <v/>
      </c>
      <c r="C25" s="43" t="str">
        <f>IF(ISNA($N25),"",VLOOKUP($B25,Reg!$M$3:$N$202,2,0))</f>
        <v/>
      </c>
      <c r="D25" s="31" t="str">
        <f>IF(ISNA($N25),"",VLOOKUP($B25,Reg!$M$3:$O$202,3,0))</f>
        <v/>
      </c>
      <c r="E25" s="35"/>
      <c r="F25" s="41"/>
      <c r="G25" s="36" t="str">
        <f t="shared" si="2"/>
        <v/>
      </c>
      <c r="H25" s="38" t="str">
        <f t="shared" si="3"/>
        <v/>
      </c>
      <c r="I25" s="29" t="str">
        <f>IF(ISNA($N25),"",VLOOKUP($B25,Reg!$M$3:$P$200,4,0))</f>
        <v/>
      </c>
      <c r="J25" s="46" t="str">
        <f t="shared" si="4"/>
        <v/>
      </c>
      <c r="K25" s="49" t="str">
        <f t="shared" si="5"/>
        <v/>
      </c>
      <c r="L25" s="27"/>
      <c r="M25" s="27"/>
      <c r="N25" s="24" t="e">
        <f>VLOOKUP(22,Reg!$F$2:$M$202,8,0)</f>
        <v>#N/A</v>
      </c>
      <c r="O25" s="25" t="e">
        <f>VLOOKUP($B25,Reg!$M$3:$Q$202,5,0)</f>
        <v>#N/A</v>
      </c>
      <c r="P25" s="25" t="e">
        <f t="shared" si="6"/>
        <v>#VALUE!</v>
      </c>
      <c r="Q25" s="47">
        <f t="shared" si="7"/>
        <v>1000</v>
      </c>
      <c r="R25" s="54">
        <v>22</v>
      </c>
    </row>
    <row r="26" spans="1:18" ht="15" customHeight="1" x14ac:dyDescent="0.2">
      <c r="A26" s="26" t="str">
        <f t="shared" si="0"/>
        <v/>
      </c>
      <c r="B26" s="29" t="str">
        <f t="shared" si="1"/>
        <v/>
      </c>
      <c r="C26" s="43" t="str">
        <f>IF(ISNA($N26),"",VLOOKUP($B26,Reg!$M$3:$N$202,2,0))</f>
        <v/>
      </c>
      <c r="D26" s="31" t="str">
        <f>IF(ISNA($N26),"",VLOOKUP($B26,Reg!$M$3:$O$202,3,0))</f>
        <v/>
      </c>
      <c r="E26" s="35"/>
      <c r="F26" s="41"/>
      <c r="G26" s="36" t="str">
        <f t="shared" si="2"/>
        <v/>
      </c>
      <c r="H26" s="38" t="str">
        <f t="shared" si="3"/>
        <v/>
      </c>
      <c r="I26" s="29" t="str">
        <f>IF(ISNA($N26),"",VLOOKUP($B26,Reg!$M$3:$P$200,4,0))</f>
        <v/>
      </c>
      <c r="J26" s="46" t="str">
        <f t="shared" si="4"/>
        <v/>
      </c>
      <c r="K26" s="49" t="str">
        <f t="shared" si="5"/>
        <v/>
      </c>
      <c r="L26" s="27"/>
      <c r="M26" s="27"/>
      <c r="N26" s="24" t="e">
        <f>VLOOKUP(23,Reg!$F$2:$M$202,8,0)</f>
        <v>#N/A</v>
      </c>
      <c r="O26" s="25" t="e">
        <f>VLOOKUP($B26,Reg!$M$3:$Q$202,5,0)</f>
        <v>#N/A</v>
      </c>
      <c r="P26" s="25" t="e">
        <f t="shared" si="6"/>
        <v>#VALUE!</v>
      </c>
      <c r="Q26" s="47">
        <f t="shared" si="7"/>
        <v>1000</v>
      </c>
      <c r="R26" s="54">
        <v>23</v>
      </c>
    </row>
    <row r="27" spans="1:18" ht="15" customHeight="1" x14ac:dyDescent="0.2">
      <c r="A27" s="26" t="str">
        <f t="shared" si="0"/>
        <v/>
      </c>
      <c r="B27" s="29" t="str">
        <f t="shared" si="1"/>
        <v/>
      </c>
      <c r="C27" s="43" t="str">
        <f>IF(ISNA($N27),"",VLOOKUP($B27,Reg!$M$3:$N$202,2,0))</f>
        <v/>
      </c>
      <c r="D27" s="31" t="str">
        <f>IF(ISNA($N27),"",VLOOKUP($B27,Reg!$M$3:$O$202,3,0))</f>
        <v/>
      </c>
      <c r="E27" s="35"/>
      <c r="F27" s="41"/>
      <c r="G27" s="36" t="str">
        <f t="shared" si="2"/>
        <v/>
      </c>
      <c r="H27" s="38" t="str">
        <f t="shared" si="3"/>
        <v/>
      </c>
      <c r="I27" s="29" t="str">
        <f>IF(ISNA($N27),"",VLOOKUP($B27,Reg!$M$3:$P$200,4,0))</f>
        <v/>
      </c>
      <c r="J27" s="46" t="str">
        <f t="shared" si="4"/>
        <v/>
      </c>
      <c r="K27" s="49" t="str">
        <f t="shared" si="5"/>
        <v/>
      </c>
      <c r="L27" s="27"/>
      <c r="M27" s="27"/>
      <c r="N27" s="24" t="e">
        <f>VLOOKUP(24,Reg!$F$2:$M$202,8,0)</f>
        <v>#N/A</v>
      </c>
      <c r="O27" s="25" t="e">
        <f>VLOOKUP($B27,Reg!$M$3:$Q$202,5,0)</f>
        <v>#N/A</v>
      </c>
      <c r="P27" s="25" t="e">
        <f t="shared" si="6"/>
        <v>#VALUE!</v>
      </c>
      <c r="Q27" s="47">
        <f t="shared" si="7"/>
        <v>1000</v>
      </c>
      <c r="R27" s="54">
        <v>24</v>
      </c>
    </row>
    <row r="28" spans="1:18" ht="15" customHeight="1" x14ac:dyDescent="0.2">
      <c r="A28" s="26" t="str">
        <f t="shared" si="0"/>
        <v/>
      </c>
      <c r="B28" s="29" t="str">
        <f t="shared" si="1"/>
        <v/>
      </c>
      <c r="C28" s="43" t="str">
        <f>IF(ISNA($N28),"",VLOOKUP($B28,Reg!$M$3:$N$202,2,0))</f>
        <v/>
      </c>
      <c r="D28" s="31" t="str">
        <f>IF(ISNA($N28),"",VLOOKUP($B28,Reg!$M$3:$O$202,3,0))</f>
        <v/>
      </c>
      <c r="E28" s="35"/>
      <c r="F28" s="41"/>
      <c r="G28" s="36" t="str">
        <f t="shared" si="2"/>
        <v/>
      </c>
      <c r="H28" s="38" t="str">
        <f t="shared" si="3"/>
        <v/>
      </c>
      <c r="I28" s="29" t="str">
        <f>IF(ISNA($N28),"",VLOOKUP($B28,Reg!$M$3:$P$200,4,0))</f>
        <v/>
      </c>
      <c r="J28" s="46" t="str">
        <f t="shared" si="4"/>
        <v/>
      </c>
      <c r="K28" s="49" t="str">
        <f t="shared" si="5"/>
        <v/>
      </c>
      <c r="L28" s="27"/>
      <c r="M28" s="27"/>
      <c r="N28" s="24" t="e">
        <f>VLOOKUP(25,Reg!$F$2:$M$202,8,0)</f>
        <v>#N/A</v>
      </c>
      <c r="O28" s="25" t="e">
        <f>VLOOKUP($B28,Reg!$M$3:$Q$202,5,0)</f>
        <v>#N/A</v>
      </c>
      <c r="P28" s="25" t="e">
        <f t="shared" si="6"/>
        <v>#VALUE!</v>
      </c>
      <c r="Q28" s="47">
        <f t="shared" si="7"/>
        <v>1000</v>
      </c>
      <c r="R28" s="54">
        <v>25</v>
      </c>
    </row>
    <row r="29" spans="1:18" ht="15" customHeight="1" x14ac:dyDescent="0.2">
      <c r="A29" s="26" t="str">
        <f t="shared" si="0"/>
        <v/>
      </c>
      <c r="B29" s="29" t="str">
        <f t="shared" si="1"/>
        <v/>
      </c>
      <c r="C29" s="43" t="str">
        <f>IF(ISNA($N29),"",VLOOKUP($B29,Reg!$M$3:$N$202,2,0))</f>
        <v/>
      </c>
      <c r="D29" s="31" t="str">
        <f>IF(ISNA($N29),"",VLOOKUP($B29,Reg!$M$3:$O$202,3,0))</f>
        <v/>
      </c>
      <c r="E29" s="35"/>
      <c r="F29" s="41"/>
      <c r="G29" s="36" t="str">
        <f t="shared" si="2"/>
        <v/>
      </c>
      <c r="H29" s="38" t="str">
        <f t="shared" si="3"/>
        <v/>
      </c>
      <c r="I29" s="29" t="str">
        <f>IF(ISNA($N29),"",VLOOKUP($B29,Reg!$M$3:$P$200,4,0))</f>
        <v/>
      </c>
      <c r="J29" s="46" t="str">
        <f t="shared" si="4"/>
        <v/>
      </c>
      <c r="K29" s="49" t="str">
        <f t="shared" si="5"/>
        <v/>
      </c>
      <c r="L29" s="27"/>
      <c r="M29" s="27"/>
      <c r="N29" s="24" t="e">
        <f>VLOOKUP(26,Reg!$F$2:$M$202,8,0)</f>
        <v>#N/A</v>
      </c>
      <c r="O29" s="25" t="e">
        <f>VLOOKUP($B29,Reg!$M$3:$Q$202,5,0)</f>
        <v>#N/A</v>
      </c>
      <c r="P29" s="25" t="e">
        <f t="shared" si="6"/>
        <v>#VALUE!</v>
      </c>
      <c r="Q29" s="47">
        <f t="shared" si="7"/>
        <v>1000</v>
      </c>
      <c r="R29" s="54">
        <v>26</v>
      </c>
    </row>
    <row r="30" spans="1:18" ht="15" customHeight="1" x14ac:dyDescent="0.2">
      <c r="A30" s="26" t="str">
        <f t="shared" si="0"/>
        <v/>
      </c>
      <c r="B30" s="29" t="str">
        <f t="shared" si="1"/>
        <v/>
      </c>
      <c r="C30" s="43" t="str">
        <f>IF(ISNA($N30),"",VLOOKUP($B30,Reg!$M$3:$N$202,2,0))</f>
        <v/>
      </c>
      <c r="D30" s="31" t="str">
        <f>IF(ISNA($N30),"",VLOOKUP($B30,Reg!$M$3:$O$202,3,0))</f>
        <v/>
      </c>
      <c r="E30" s="35"/>
      <c r="F30" s="41"/>
      <c r="G30" s="36" t="str">
        <f t="shared" si="2"/>
        <v/>
      </c>
      <c r="H30" s="38" t="str">
        <f t="shared" si="3"/>
        <v/>
      </c>
      <c r="I30" s="29" t="str">
        <f>IF(ISNA($N30),"",VLOOKUP($B30,Reg!$M$3:$P$200,4,0))</f>
        <v/>
      </c>
      <c r="J30" s="46" t="str">
        <f t="shared" si="4"/>
        <v/>
      </c>
      <c r="K30" s="49" t="str">
        <f t="shared" si="5"/>
        <v/>
      </c>
      <c r="L30" s="27"/>
      <c r="M30" s="27"/>
      <c r="N30" s="24" t="e">
        <f>VLOOKUP(27,Reg!$F$2:$M$202,8,0)</f>
        <v>#N/A</v>
      </c>
      <c r="O30" s="25" t="e">
        <f>VLOOKUP($B30,Reg!$M$3:$Q$202,5,0)</f>
        <v>#N/A</v>
      </c>
      <c r="P30" s="25" t="e">
        <f t="shared" si="6"/>
        <v>#VALUE!</v>
      </c>
      <c r="Q30" s="47">
        <f t="shared" si="7"/>
        <v>1000</v>
      </c>
      <c r="R30" s="54">
        <v>27</v>
      </c>
    </row>
    <row r="31" spans="1:18" ht="15" customHeight="1" x14ac:dyDescent="0.2">
      <c r="A31" s="26" t="str">
        <f t="shared" si="0"/>
        <v/>
      </c>
      <c r="B31" s="29" t="str">
        <f t="shared" si="1"/>
        <v/>
      </c>
      <c r="C31" s="43" t="str">
        <f>IF(ISNA($N31),"",VLOOKUP($B31,Reg!$M$3:$N$202,2,0))</f>
        <v/>
      </c>
      <c r="D31" s="31" t="str">
        <f>IF(ISNA($N31),"",VLOOKUP($B31,Reg!$M$3:$O$202,3,0))</f>
        <v/>
      </c>
      <c r="E31" s="35"/>
      <c r="F31" s="41"/>
      <c r="G31" s="36" t="str">
        <f t="shared" si="2"/>
        <v/>
      </c>
      <c r="H31" s="38" t="str">
        <f t="shared" si="3"/>
        <v/>
      </c>
      <c r="I31" s="29" t="str">
        <f>IF(ISNA($N31),"",VLOOKUP($B31,Reg!$M$3:$P$200,4,0))</f>
        <v/>
      </c>
      <c r="J31" s="46" t="str">
        <f t="shared" si="4"/>
        <v/>
      </c>
      <c r="K31" s="49" t="str">
        <f t="shared" si="5"/>
        <v/>
      </c>
      <c r="L31" s="27"/>
      <c r="M31" s="27"/>
      <c r="N31" s="24" t="e">
        <f>VLOOKUP(28,Reg!$F$2:$M$202,8,0)</f>
        <v>#N/A</v>
      </c>
      <c r="O31" s="25" t="e">
        <f>VLOOKUP($B31,Reg!$M$3:$Q$202,5,0)</f>
        <v>#N/A</v>
      </c>
      <c r="P31" s="25" t="e">
        <f t="shared" si="6"/>
        <v>#VALUE!</v>
      </c>
      <c r="Q31" s="47">
        <f t="shared" si="7"/>
        <v>1000</v>
      </c>
      <c r="R31" s="54">
        <v>28</v>
      </c>
    </row>
    <row r="32" spans="1:18" ht="15" customHeight="1" x14ac:dyDescent="0.2">
      <c r="A32" s="26" t="str">
        <f t="shared" si="0"/>
        <v/>
      </c>
      <c r="B32" s="29" t="str">
        <f t="shared" si="1"/>
        <v/>
      </c>
      <c r="C32" s="43" t="str">
        <f>IF(ISNA($N32),"",VLOOKUP($B32,Reg!$M$3:$N$202,2,0))</f>
        <v/>
      </c>
      <c r="D32" s="31" t="str">
        <f>IF(ISNA($N32),"",VLOOKUP($B32,Reg!$M$3:$O$202,3,0))</f>
        <v/>
      </c>
      <c r="E32" s="35"/>
      <c r="F32" s="41"/>
      <c r="G32" s="36" t="str">
        <f t="shared" si="2"/>
        <v/>
      </c>
      <c r="H32" s="38" t="str">
        <f t="shared" si="3"/>
        <v/>
      </c>
      <c r="I32" s="29" t="str">
        <f>IF(ISNA($N32),"",VLOOKUP($B32,Reg!$M$3:$P$200,4,0))</f>
        <v/>
      </c>
      <c r="J32" s="46" t="str">
        <f t="shared" si="4"/>
        <v/>
      </c>
      <c r="K32" s="49" t="str">
        <f t="shared" si="5"/>
        <v/>
      </c>
      <c r="L32" s="27"/>
      <c r="M32" s="27"/>
      <c r="N32" s="24" t="e">
        <f>VLOOKUP(29,Reg!$F$2:$M$202,8,0)</f>
        <v>#N/A</v>
      </c>
      <c r="O32" s="25" t="e">
        <f>VLOOKUP($B32,Reg!$M$3:$Q$202,5,0)</f>
        <v>#N/A</v>
      </c>
      <c r="P32" s="25" t="e">
        <f t="shared" si="6"/>
        <v>#VALUE!</v>
      </c>
      <c r="Q32" s="47">
        <f t="shared" si="7"/>
        <v>1000</v>
      </c>
      <c r="R32" s="54">
        <v>29</v>
      </c>
    </row>
    <row r="33" spans="1:18" ht="15" customHeight="1" x14ac:dyDescent="0.2">
      <c r="A33" s="26" t="str">
        <f t="shared" si="0"/>
        <v/>
      </c>
      <c r="B33" s="29" t="str">
        <f t="shared" si="1"/>
        <v/>
      </c>
      <c r="C33" s="43" t="str">
        <f>IF(ISNA($N33),"",VLOOKUP($B33,Reg!$M$3:$N$202,2,0))</f>
        <v/>
      </c>
      <c r="D33" s="31" t="str">
        <f>IF(ISNA($N33),"",VLOOKUP($B33,Reg!$M$3:$O$202,3,0))</f>
        <v/>
      </c>
      <c r="E33" s="35"/>
      <c r="F33" s="41"/>
      <c r="G33" s="36" t="str">
        <f t="shared" si="2"/>
        <v/>
      </c>
      <c r="H33" s="38" t="str">
        <f t="shared" si="3"/>
        <v/>
      </c>
      <c r="I33" s="29" t="str">
        <f>IF(ISNA($N33),"",VLOOKUP($B33,Reg!$M$3:$P$200,4,0))</f>
        <v/>
      </c>
      <c r="J33" s="46" t="str">
        <f t="shared" si="4"/>
        <v/>
      </c>
      <c r="K33" s="49" t="str">
        <f t="shared" si="5"/>
        <v/>
      </c>
      <c r="L33" s="27"/>
      <c r="M33" s="27"/>
      <c r="N33" s="24" t="e">
        <f>VLOOKUP(30,Reg!$F$2:$M$202,8,0)</f>
        <v>#N/A</v>
      </c>
      <c r="O33" s="25" t="e">
        <f>VLOOKUP($B33,Reg!$M$3:$Q$202,5,0)</f>
        <v>#N/A</v>
      </c>
      <c r="P33" s="25" t="e">
        <f t="shared" si="6"/>
        <v>#VALUE!</v>
      </c>
      <c r="Q33" s="47">
        <f t="shared" si="7"/>
        <v>1000</v>
      </c>
      <c r="R33" s="54">
        <v>30</v>
      </c>
    </row>
    <row r="34" spans="1:18" ht="15" customHeight="1" x14ac:dyDescent="0.2">
      <c r="A34" s="26" t="str">
        <f t="shared" si="0"/>
        <v/>
      </c>
      <c r="B34" s="29" t="str">
        <f t="shared" si="1"/>
        <v/>
      </c>
      <c r="C34" s="43" t="str">
        <f>IF(ISNA($N34),"",VLOOKUP($B34,Reg!$M$3:$N$202,2,0))</f>
        <v/>
      </c>
      <c r="D34" s="31" t="str">
        <f>IF(ISNA($N34),"",VLOOKUP($B34,Reg!$M$3:$O$202,3,0))</f>
        <v/>
      </c>
      <c r="E34" s="35"/>
      <c r="F34" s="41"/>
      <c r="G34" s="36" t="str">
        <f t="shared" si="2"/>
        <v/>
      </c>
      <c r="H34" s="38" t="str">
        <f t="shared" si="3"/>
        <v/>
      </c>
      <c r="I34" s="29" t="str">
        <f>IF(ISNA($N34),"",VLOOKUP($B34,Reg!$M$3:$P$200,4,0))</f>
        <v/>
      </c>
      <c r="J34" s="46" t="str">
        <f t="shared" si="4"/>
        <v/>
      </c>
      <c r="K34" s="49" t="str">
        <f t="shared" si="5"/>
        <v/>
      </c>
      <c r="L34" s="27"/>
      <c r="M34" s="27"/>
      <c r="N34" s="24" t="e">
        <f>VLOOKUP(31,Reg!$F$2:$M$202,8,0)</f>
        <v>#N/A</v>
      </c>
      <c r="O34" s="25" t="e">
        <f>VLOOKUP($B34,Reg!$M$3:$Q$202,5,0)</f>
        <v>#N/A</v>
      </c>
      <c r="P34" s="25" t="e">
        <f t="shared" si="6"/>
        <v>#VALUE!</v>
      </c>
      <c r="Q34" s="47">
        <f t="shared" si="7"/>
        <v>1000</v>
      </c>
      <c r="R34" s="54">
        <v>31</v>
      </c>
    </row>
    <row r="35" spans="1:18" ht="15" customHeight="1" x14ac:dyDescent="0.2">
      <c r="A35" s="26" t="str">
        <f t="shared" si="0"/>
        <v/>
      </c>
      <c r="B35" s="29" t="str">
        <f t="shared" si="1"/>
        <v/>
      </c>
      <c r="C35" s="43" t="str">
        <f>IF(ISNA($N35),"",VLOOKUP($B35,Reg!$M$3:$N$202,2,0))</f>
        <v/>
      </c>
      <c r="D35" s="31" t="str">
        <f>IF(ISNA($N35),"",VLOOKUP($B35,Reg!$M$3:$O$202,3,0))</f>
        <v/>
      </c>
      <c r="E35" s="35"/>
      <c r="F35" s="41"/>
      <c r="G35" s="36" t="str">
        <f t="shared" si="2"/>
        <v/>
      </c>
      <c r="H35" s="38" t="str">
        <f t="shared" si="3"/>
        <v/>
      </c>
      <c r="I35" s="29" t="str">
        <f>IF(ISNA($N35),"",VLOOKUP($B35,Reg!$M$3:$P$200,4,0))</f>
        <v/>
      </c>
      <c r="J35" s="46" t="str">
        <f t="shared" si="4"/>
        <v/>
      </c>
      <c r="K35" s="49" t="str">
        <f t="shared" si="5"/>
        <v/>
      </c>
      <c r="L35" s="27"/>
      <c r="M35" s="27"/>
      <c r="N35" s="24" t="e">
        <f>VLOOKUP(32,Reg!$F$2:$M$202,8,0)</f>
        <v>#N/A</v>
      </c>
      <c r="O35" s="25" t="e">
        <f>VLOOKUP($B35,Reg!$M$3:$Q$202,5,0)</f>
        <v>#N/A</v>
      </c>
      <c r="P35" s="25" t="e">
        <f t="shared" si="6"/>
        <v>#VALUE!</v>
      </c>
      <c r="Q35" s="47">
        <f t="shared" si="7"/>
        <v>1000</v>
      </c>
      <c r="R35" s="54">
        <v>32</v>
      </c>
    </row>
    <row r="36" spans="1:18" x14ac:dyDescent="0.2">
      <c r="A36" s="26" t="str">
        <f t="shared" si="0"/>
        <v/>
      </c>
      <c r="B36" s="29" t="str">
        <f t="shared" si="1"/>
        <v/>
      </c>
      <c r="C36" s="43" t="str">
        <f>IF(ISNA($N36),"",VLOOKUP($B36,Reg!$M$3:$N$202,2,0))</f>
        <v/>
      </c>
      <c r="D36" s="31" t="str">
        <f>IF(ISNA($N36),"",VLOOKUP($B36,Reg!$M$3:$O$202,3,0))</f>
        <v/>
      </c>
      <c r="E36" s="35"/>
      <c r="F36" s="41"/>
      <c r="G36" s="36" t="str">
        <f t="shared" si="2"/>
        <v/>
      </c>
      <c r="H36" s="38" t="str">
        <f t="shared" si="3"/>
        <v/>
      </c>
      <c r="I36" s="29" t="str">
        <f>IF(ISNA($N36),"",VLOOKUP($B36,Reg!$M$3:$P$200,4,0))</f>
        <v/>
      </c>
      <c r="J36" s="46" t="str">
        <f t="shared" si="4"/>
        <v/>
      </c>
      <c r="K36" s="49" t="str">
        <f t="shared" si="5"/>
        <v/>
      </c>
      <c r="L36" s="27"/>
      <c r="M36" s="27"/>
      <c r="N36" s="24" t="e">
        <f>VLOOKUP(33,Reg!$F$2:$M$202,8,0)</f>
        <v>#N/A</v>
      </c>
      <c r="O36" s="25" t="e">
        <f>VLOOKUP($B36,Reg!$M$3:$Q$202,5,0)</f>
        <v>#N/A</v>
      </c>
      <c r="P36" s="25" t="e">
        <f t="shared" si="6"/>
        <v>#VALUE!</v>
      </c>
      <c r="Q36" s="47">
        <f t="shared" si="7"/>
        <v>1000</v>
      </c>
      <c r="R36" s="54">
        <v>33</v>
      </c>
    </row>
    <row r="37" spans="1:18" x14ac:dyDescent="0.2">
      <c r="A37" s="26" t="str">
        <f t="shared" si="0"/>
        <v/>
      </c>
      <c r="B37" s="29" t="str">
        <f t="shared" si="1"/>
        <v/>
      </c>
      <c r="C37" s="43" t="str">
        <f>IF(ISNA($N37),"",VLOOKUP($B37,Reg!$M$3:$N$202,2,0))</f>
        <v/>
      </c>
      <c r="D37" s="31" t="str">
        <f>IF(ISNA($N37),"",VLOOKUP($B37,Reg!$M$3:$O$202,3,0))</f>
        <v/>
      </c>
      <c r="E37" s="35"/>
      <c r="F37" s="41"/>
      <c r="G37" s="36" t="str">
        <f t="shared" si="2"/>
        <v/>
      </c>
      <c r="H37" s="38" t="str">
        <f t="shared" si="3"/>
        <v/>
      </c>
      <c r="I37" s="29" t="str">
        <f>IF(ISNA($N37),"",VLOOKUP($B37,Reg!$M$3:$P$200,4,0))</f>
        <v/>
      </c>
      <c r="J37" s="46" t="str">
        <f t="shared" si="4"/>
        <v/>
      </c>
      <c r="K37" s="49" t="str">
        <f t="shared" si="5"/>
        <v/>
      </c>
      <c r="L37" s="27"/>
      <c r="M37" s="27"/>
      <c r="N37" s="24" t="e">
        <f>VLOOKUP(34,Reg!$F$2:$M$202,8,0)</f>
        <v>#N/A</v>
      </c>
      <c r="O37" s="25" t="e">
        <f>VLOOKUP($B37,Reg!$M$3:$Q$202,5,0)</f>
        <v>#N/A</v>
      </c>
      <c r="P37" s="25" t="e">
        <f t="shared" si="6"/>
        <v>#VALUE!</v>
      </c>
      <c r="Q37" s="47">
        <f t="shared" si="7"/>
        <v>1000</v>
      </c>
      <c r="R37" s="54">
        <v>34</v>
      </c>
    </row>
    <row r="38" spans="1:18" x14ac:dyDescent="0.2">
      <c r="A38" s="26" t="str">
        <f t="shared" si="0"/>
        <v/>
      </c>
      <c r="B38" s="29" t="str">
        <f t="shared" si="1"/>
        <v/>
      </c>
      <c r="C38" s="43" t="str">
        <f>IF(ISNA($N38),"",VLOOKUP($B38,Reg!$M$3:$N$202,2,0))</f>
        <v/>
      </c>
      <c r="D38" s="31" t="str">
        <f>IF(ISNA($N38),"",VLOOKUP($B38,Reg!$M$3:$O$202,3,0))</f>
        <v/>
      </c>
      <c r="E38" s="35"/>
      <c r="F38" s="41"/>
      <c r="G38" s="36" t="str">
        <f t="shared" si="2"/>
        <v/>
      </c>
      <c r="H38" s="38" t="str">
        <f t="shared" si="3"/>
        <v/>
      </c>
      <c r="I38" s="29" t="str">
        <f>IF(ISNA($N38),"",VLOOKUP($B38,Reg!$M$3:$P$200,4,0))</f>
        <v/>
      </c>
      <c r="J38" s="46" t="str">
        <f t="shared" si="4"/>
        <v/>
      </c>
      <c r="K38" s="49" t="str">
        <f t="shared" si="5"/>
        <v/>
      </c>
      <c r="L38" s="27"/>
      <c r="M38" s="27"/>
      <c r="N38" s="24" t="e">
        <f>VLOOKUP(35,Reg!$F$2:$M$202,8,0)</f>
        <v>#N/A</v>
      </c>
      <c r="O38" s="25" t="e">
        <f>VLOOKUP($B38,Reg!$M$3:$Q$202,5,0)</f>
        <v>#N/A</v>
      </c>
      <c r="P38" s="25" t="e">
        <f t="shared" si="6"/>
        <v>#VALUE!</v>
      </c>
      <c r="Q38" s="47">
        <f t="shared" si="7"/>
        <v>1000</v>
      </c>
      <c r="R38" s="54">
        <v>35</v>
      </c>
    </row>
    <row r="39" spans="1:18" x14ac:dyDescent="0.2">
      <c r="A39" s="26" t="str">
        <f t="shared" si="0"/>
        <v/>
      </c>
      <c r="B39" s="29" t="str">
        <f t="shared" si="1"/>
        <v/>
      </c>
      <c r="C39" s="43" t="str">
        <f>IF(ISNA($N39),"",VLOOKUP($B39,Reg!$M$3:$N$202,2,0))</f>
        <v/>
      </c>
      <c r="D39" s="31" t="str">
        <f>IF(ISNA($N39),"",VLOOKUP($B39,Reg!$M$3:$O$202,3,0))</f>
        <v/>
      </c>
      <c r="E39" s="35"/>
      <c r="F39" s="41"/>
      <c r="G39" s="36" t="str">
        <f t="shared" si="2"/>
        <v/>
      </c>
      <c r="H39" s="38" t="str">
        <f t="shared" si="3"/>
        <v/>
      </c>
      <c r="I39" s="29" t="str">
        <f>IF(ISNA($N39),"",VLOOKUP($B39,Reg!$M$3:$P$200,4,0))</f>
        <v/>
      </c>
      <c r="J39" s="46" t="str">
        <f t="shared" si="4"/>
        <v/>
      </c>
      <c r="K39" s="49" t="str">
        <f t="shared" si="5"/>
        <v/>
      </c>
      <c r="L39" s="27"/>
      <c r="M39" s="27"/>
      <c r="N39" s="24" t="e">
        <f>VLOOKUP(36,Reg!$F$2:$M$202,8,0)</f>
        <v>#N/A</v>
      </c>
      <c r="O39" s="25" t="e">
        <f>VLOOKUP($B39,Reg!$M$3:$Q$202,5,0)</f>
        <v>#N/A</v>
      </c>
      <c r="P39" s="25" t="e">
        <f t="shared" si="6"/>
        <v>#VALUE!</v>
      </c>
      <c r="Q39" s="47">
        <f t="shared" si="7"/>
        <v>1000</v>
      </c>
      <c r="R39" s="54">
        <v>36</v>
      </c>
    </row>
    <row r="40" spans="1:18" x14ac:dyDescent="0.2">
      <c r="A40" s="26" t="str">
        <f t="shared" si="0"/>
        <v/>
      </c>
      <c r="B40" s="29" t="str">
        <f t="shared" si="1"/>
        <v/>
      </c>
      <c r="C40" s="43" t="str">
        <f>IF(ISNA($N40),"",VLOOKUP($B40,Reg!$M$3:$N$202,2,0))</f>
        <v/>
      </c>
      <c r="D40" s="31" t="str">
        <f>IF(ISNA($N40),"",VLOOKUP($B40,Reg!$M$3:$O$202,3,0))</f>
        <v/>
      </c>
      <c r="E40" s="35"/>
      <c r="F40" s="41"/>
      <c r="G40" s="36" t="str">
        <f t="shared" si="2"/>
        <v/>
      </c>
      <c r="H40" s="38" t="str">
        <f t="shared" si="3"/>
        <v/>
      </c>
      <c r="I40" s="29" t="str">
        <f>IF(ISNA($N40),"",VLOOKUP($B40,Reg!$M$3:$P$200,4,0))</f>
        <v/>
      </c>
      <c r="J40" s="46" t="str">
        <f t="shared" si="4"/>
        <v/>
      </c>
      <c r="K40" s="49" t="str">
        <f t="shared" si="5"/>
        <v/>
      </c>
      <c r="L40" s="27"/>
      <c r="M40" s="27"/>
      <c r="N40" s="24" t="e">
        <f>VLOOKUP(37,Reg!$F$2:$M$202,8,0)</f>
        <v>#N/A</v>
      </c>
      <c r="O40" s="25" t="e">
        <f>VLOOKUP($B40,Reg!$M$3:$Q$202,5,0)</f>
        <v>#N/A</v>
      </c>
      <c r="P40" s="25" t="e">
        <f t="shared" si="6"/>
        <v>#VALUE!</v>
      </c>
      <c r="Q40" s="47">
        <f t="shared" si="7"/>
        <v>1000</v>
      </c>
      <c r="R40" s="54">
        <v>37</v>
      </c>
    </row>
    <row r="41" spans="1:18" x14ac:dyDescent="0.2">
      <c r="A41" s="26" t="str">
        <f t="shared" si="0"/>
        <v/>
      </c>
      <c r="B41" s="29" t="str">
        <f t="shared" si="1"/>
        <v/>
      </c>
      <c r="C41" s="43" t="str">
        <f>IF(ISNA($N41),"",VLOOKUP($B41,Reg!$M$3:$N$202,2,0))</f>
        <v/>
      </c>
      <c r="D41" s="31" t="str">
        <f>IF(ISNA($N41),"",VLOOKUP($B41,Reg!$M$3:$O$202,3,0))</f>
        <v/>
      </c>
      <c r="E41" s="35"/>
      <c r="F41" s="41"/>
      <c r="G41" s="36" t="str">
        <f t="shared" si="2"/>
        <v/>
      </c>
      <c r="H41" s="38" t="str">
        <f t="shared" si="3"/>
        <v/>
      </c>
      <c r="I41" s="29" t="str">
        <f>IF(ISNA($N41),"",VLOOKUP($B41,Reg!$M$3:$P$200,4,0))</f>
        <v/>
      </c>
      <c r="J41" s="46" t="str">
        <f t="shared" si="4"/>
        <v/>
      </c>
      <c r="K41" s="49" t="str">
        <f t="shared" si="5"/>
        <v/>
      </c>
      <c r="L41" s="27"/>
      <c r="M41" s="27"/>
      <c r="N41" s="24" t="e">
        <f>VLOOKUP(38,Reg!$F$2:$M$202,8,0)</f>
        <v>#N/A</v>
      </c>
      <c r="O41" s="25" t="e">
        <f>VLOOKUP($B41,Reg!$M$3:$Q$202,5,0)</f>
        <v>#N/A</v>
      </c>
      <c r="P41" s="25" t="e">
        <f t="shared" si="6"/>
        <v>#VALUE!</v>
      </c>
      <c r="Q41" s="47">
        <f t="shared" si="7"/>
        <v>1000</v>
      </c>
      <c r="R41" s="54">
        <v>38</v>
      </c>
    </row>
    <row r="42" spans="1:18" x14ac:dyDescent="0.2">
      <c r="A42" s="26" t="str">
        <f t="shared" si="0"/>
        <v/>
      </c>
      <c r="B42" s="29" t="str">
        <f t="shared" si="1"/>
        <v/>
      </c>
      <c r="C42" s="43" t="str">
        <f>IF(ISNA($N42),"",VLOOKUP($B42,Reg!$M$3:$N$202,2,0))</f>
        <v/>
      </c>
      <c r="D42" s="31" t="str">
        <f>IF(ISNA($N42),"",VLOOKUP($B42,Reg!$M$3:$O$202,3,0))</f>
        <v/>
      </c>
      <c r="E42" s="35"/>
      <c r="F42" s="41"/>
      <c r="G42" s="36" t="str">
        <f t="shared" si="2"/>
        <v/>
      </c>
      <c r="H42" s="38" t="str">
        <f t="shared" si="3"/>
        <v/>
      </c>
      <c r="I42" s="29" t="str">
        <f>IF(ISNA($N42),"",VLOOKUP($B42,Reg!$M$3:$P$200,4,0))</f>
        <v/>
      </c>
      <c r="J42" s="46" t="str">
        <f t="shared" si="4"/>
        <v/>
      </c>
      <c r="K42" s="49" t="str">
        <f t="shared" si="5"/>
        <v/>
      </c>
      <c r="L42" s="27"/>
      <c r="M42" s="27"/>
      <c r="N42" s="24" t="e">
        <f>VLOOKUP(39,Reg!$F$2:$M$202,8,0)</f>
        <v>#N/A</v>
      </c>
      <c r="O42" s="25" t="e">
        <f>VLOOKUP($B42,Reg!$M$3:$Q$202,5,0)</f>
        <v>#N/A</v>
      </c>
      <c r="P42" s="25" t="e">
        <f t="shared" si="6"/>
        <v>#VALUE!</v>
      </c>
      <c r="Q42" s="47">
        <f t="shared" si="7"/>
        <v>1000</v>
      </c>
      <c r="R42" s="54">
        <v>39</v>
      </c>
    </row>
    <row r="43" spans="1:18" x14ac:dyDescent="0.2">
      <c r="A43" s="26" t="str">
        <f t="shared" si="0"/>
        <v/>
      </c>
      <c r="B43" s="29" t="str">
        <f t="shared" si="1"/>
        <v/>
      </c>
      <c r="C43" s="43" t="str">
        <f>IF(ISNA($N43),"",VLOOKUP($B43,Reg!$M$3:$N$202,2,0))</f>
        <v/>
      </c>
      <c r="D43" s="31" t="str">
        <f>IF(ISNA($N43),"",VLOOKUP($B43,Reg!$M$3:$O$202,3,0))</f>
        <v/>
      </c>
      <c r="E43" s="35"/>
      <c r="F43" s="41"/>
      <c r="G43" s="36" t="str">
        <f t="shared" si="2"/>
        <v/>
      </c>
      <c r="H43" s="38" t="str">
        <f t="shared" si="3"/>
        <v/>
      </c>
      <c r="I43" s="29" t="str">
        <f>IF(ISNA($N43),"",VLOOKUP($B43,Reg!$M$3:$P$200,4,0))</f>
        <v/>
      </c>
      <c r="J43" s="46" t="str">
        <f t="shared" si="4"/>
        <v/>
      </c>
      <c r="K43" s="49" t="str">
        <f t="shared" si="5"/>
        <v/>
      </c>
      <c r="L43" s="27"/>
      <c r="M43" s="27"/>
      <c r="N43" s="24" t="e">
        <f>VLOOKUP(40,Reg!$F$2:$M$202,8,0)</f>
        <v>#N/A</v>
      </c>
      <c r="O43" s="25" t="e">
        <f>VLOOKUP($B43,Reg!$M$3:$Q$202,5,0)</f>
        <v>#N/A</v>
      </c>
      <c r="P43" s="25" t="e">
        <f t="shared" si="6"/>
        <v>#VALUE!</v>
      </c>
      <c r="Q43" s="47">
        <f t="shared" si="7"/>
        <v>1000</v>
      </c>
      <c r="R43" s="54">
        <v>40</v>
      </c>
    </row>
    <row r="44" spans="1:18" x14ac:dyDescent="0.2">
      <c r="A44" s="26" t="str">
        <f t="shared" ref="A44:A50" si="8">IF($B44="","",ROW()-3)</f>
        <v/>
      </c>
      <c r="B44" s="29" t="str">
        <f t="shared" ref="B44:B50" si="9">IF(ISNA($N44),"",$N44)</f>
        <v/>
      </c>
      <c r="C44" s="43" t="str">
        <f>IF(ISNA($N44),"",VLOOKUP($B44,Reg!$M$3:$N$202,2,0))</f>
        <v/>
      </c>
      <c r="D44" s="31" t="str">
        <f>IF(ISNA($N44),"",VLOOKUP($B44,Reg!$M$3:$O$202,3,0))</f>
        <v/>
      </c>
      <c r="E44" s="35"/>
      <c r="F44" s="41"/>
      <c r="G44" s="36" t="str">
        <f t="shared" ref="G44:G50" si="10">IF(ISBLANK($E44),"",IF(ISBLANK($F44),0,$F44*2))</f>
        <v/>
      </c>
      <c r="H44" s="38" t="str">
        <f t="shared" ref="H44:H50" si="11">IF(ISBLANK($E44),"",TEXT($P44,"###")&amp;IF($P44=0,""," мин ")&amp;TEXT($E44+$G44-$P44*60,"###,###")&amp;" с")</f>
        <v/>
      </c>
      <c r="I44" s="29" t="str">
        <f>IF(ISNA($N44),"",VLOOKUP($B44,Reg!$M$3:$P$200,4,0))</f>
        <v/>
      </c>
      <c r="J44" s="46" t="str">
        <f t="shared" ref="J44:J53" si="12">IF(ISNA($O44),"",IF($O44=0,"",$O44))</f>
        <v/>
      </c>
      <c r="K44" s="49" t="str">
        <f t="shared" ref="K44:K50" si="13">IF($E44&gt;0,RANK($Q44,$Q$4:$Q$50,1),"")</f>
        <v/>
      </c>
      <c r="L44" s="27"/>
      <c r="M44" s="27"/>
      <c r="N44" s="24" t="e">
        <f>VLOOKUP(41,Reg!$F$2:$M$202,8,0)</f>
        <v>#N/A</v>
      </c>
      <c r="O44" s="25" t="e">
        <f>VLOOKUP($B44,Reg!$M$3:$Q$202,5,0)</f>
        <v>#N/A</v>
      </c>
      <c r="P44" s="25" t="e">
        <f t="shared" ref="P44:P50" si="14">INT((E44+G44)/60)</f>
        <v>#VALUE!</v>
      </c>
      <c r="Q44" s="47">
        <f t="shared" ref="Q44:Q50" si="15">IF($E44&gt;0,$E44+$G44,1000)</f>
        <v>1000</v>
      </c>
      <c r="R44" s="54">
        <v>41</v>
      </c>
    </row>
    <row r="45" spans="1:18" x14ac:dyDescent="0.2">
      <c r="A45" s="26" t="str">
        <f t="shared" si="8"/>
        <v/>
      </c>
      <c r="B45" s="29" t="str">
        <f t="shared" si="9"/>
        <v/>
      </c>
      <c r="C45" s="43" t="str">
        <f>IF(ISNA($N45),"",VLOOKUP($B45,Reg!$M$3:$N$202,2,0))</f>
        <v/>
      </c>
      <c r="D45" s="31" t="str">
        <f>IF(ISNA($N45),"",VLOOKUP($B45,Reg!$M$3:$O$202,3,0))</f>
        <v/>
      </c>
      <c r="E45" s="35"/>
      <c r="F45" s="41"/>
      <c r="G45" s="36" t="str">
        <f t="shared" si="10"/>
        <v/>
      </c>
      <c r="H45" s="38" t="str">
        <f t="shared" si="11"/>
        <v/>
      </c>
      <c r="I45" s="29" t="str">
        <f>IF(ISNA($N45),"",VLOOKUP($B45,Reg!$M$3:$P$200,4,0))</f>
        <v/>
      </c>
      <c r="J45" s="46" t="str">
        <f t="shared" si="12"/>
        <v/>
      </c>
      <c r="K45" s="49" t="str">
        <f t="shared" si="13"/>
        <v/>
      </c>
      <c r="L45" s="27"/>
      <c r="M45" s="27"/>
      <c r="N45" s="24" t="e">
        <f>VLOOKUP(42,Reg!$F$2:$M$202,8,0)</f>
        <v>#N/A</v>
      </c>
      <c r="O45" s="25" t="e">
        <f>VLOOKUP($B45,Reg!$M$3:$Q$202,5,0)</f>
        <v>#N/A</v>
      </c>
      <c r="P45" s="25" t="e">
        <f t="shared" si="14"/>
        <v>#VALUE!</v>
      </c>
      <c r="Q45" s="47">
        <f t="shared" si="15"/>
        <v>1000</v>
      </c>
      <c r="R45" s="54">
        <v>42</v>
      </c>
    </row>
    <row r="46" spans="1:18" x14ac:dyDescent="0.2">
      <c r="A46" s="26" t="str">
        <f t="shared" si="8"/>
        <v/>
      </c>
      <c r="B46" s="29" t="str">
        <f t="shared" si="9"/>
        <v/>
      </c>
      <c r="C46" s="43" t="str">
        <f>IF(ISNA($N46),"",VLOOKUP($B46,Reg!$M$3:$N$202,2,0))</f>
        <v/>
      </c>
      <c r="D46" s="31" t="str">
        <f>IF(ISNA($N46),"",VLOOKUP($B46,Reg!$M$3:$O$202,3,0))</f>
        <v/>
      </c>
      <c r="E46" s="35"/>
      <c r="F46" s="41"/>
      <c r="G46" s="36" t="str">
        <f t="shared" si="10"/>
        <v/>
      </c>
      <c r="H46" s="38" t="str">
        <f t="shared" si="11"/>
        <v/>
      </c>
      <c r="I46" s="29" t="str">
        <f>IF(ISNA($N46),"",VLOOKUP($B46,Reg!$M$3:$P$200,4,0))</f>
        <v/>
      </c>
      <c r="J46" s="46" t="str">
        <f t="shared" si="12"/>
        <v/>
      </c>
      <c r="K46" s="49" t="str">
        <f t="shared" si="13"/>
        <v/>
      </c>
      <c r="L46" s="27"/>
      <c r="M46" s="27"/>
      <c r="N46" s="24" t="e">
        <f>VLOOKUP(43,Reg!$F$2:$M$202,8,0)</f>
        <v>#N/A</v>
      </c>
      <c r="O46" s="25" t="e">
        <f>VLOOKUP($B46,Reg!$M$3:$Q$202,5,0)</f>
        <v>#N/A</v>
      </c>
      <c r="P46" s="25" t="e">
        <f t="shared" si="14"/>
        <v>#VALUE!</v>
      </c>
      <c r="Q46" s="47">
        <f t="shared" si="15"/>
        <v>1000</v>
      </c>
      <c r="R46" s="54">
        <v>43</v>
      </c>
    </row>
    <row r="47" spans="1:18" x14ac:dyDescent="0.2">
      <c r="A47" s="26" t="str">
        <f t="shared" si="8"/>
        <v/>
      </c>
      <c r="B47" s="29" t="str">
        <f t="shared" si="9"/>
        <v/>
      </c>
      <c r="C47" s="43" t="str">
        <f>IF(ISNA($N47),"",VLOOKUP($B47,Reg!$M$3:$N$202,2,0))</f>
        <v/>
      </c>
      <c r="D47" s="31" t="str">
        <f>IF(ISNA($N47),"",VLOOKUP($B47,Reg!$M$3:$O$202,3,0))</f>
        <v/>
      </c>
      <c r="E47" s="35"/>
      <c r="F47" s="41"/>
      <c r="G47" s="36" t="str">
        <f t="shared" si="10"/>
        <v/>
      </c>
      <c r="H47" s="38" t="str">
        <f t="shared" si="11"/>
        <v/>
      </c>
      <c r="I47" s="29" t="str">
        <f>IF(ISNA($N47),"",VLOOKUP($B47,Reg!$M$3:$P$200,4,0))</f>
        <v/>
      </c>
      <c r="J47" s="46" t="str">
        <f t="shared" si="12"/>
        <v/>
      </c>
      <c r="K47" s="49" t="str">
        <f t="shared" si="13"/>
        <v/>
      </c>
      <c r="N47" s="24" t="e">
        <f>VLOOKUP(44,Reg!$F$2:$M$202,8,0)</f>
        <v>#N/A</v>
      </c>
      <c r="O47" s="25" t="e">
        <f>VLOOKUP($B47,Reg!$M$3:$Q$202,5,0)</f>
        <v>#N/A</v>
      </c>
      <c r="P47" s="25" t="e">
        <f t="shared" si="14"/>
        <v>#VALUE!</v>
      </c>
      <c r="Q47" s="47">
        <f t="shared" si="15"/>
        <v>1000</v>
      </c>
      <c r="R47" s="54">
        <v>44</v>
      </c>
    </row>
    <row r="48" spans="1:18" x14ac:dyDescent="0.2">
      <c r="A48" s="26" t="str">
        <f t="shared" si="8"/>
        <v/>
      </c>
      <c r="B48" s="29" t="str">
        <f t="shared" si="9"/>
        <v/>
      </c>
      <c r="C48" s="43" t="str">
        <f>IF(ISNA($N48),"",VLOOKUP($B48,Reg!$M$3:$N$202,2,0))</f>
        <v/>
      </c>
      <c r="D48" s="31" t="str">
        <f>IF(ISNA($N48),"",VLOOKUP($B48,Reg!$M$3:$O$202,3,0))</f>
        <v/>
      </c>
      <c r="E48" s="35"/>
      <c r="F48" s="41"/>
      <c r="G48" s="36" t="str">
        <f t="shared" si="10"/>
        <v/>
      </c>
      <c r="H48" s="38" t="str">
        <f t="shared" si="11"/>
        <v/>
      </c>
      <c r="I48" s="29" t="str">
        <f>IF(ISNA($N48),"",VLOOKUP($B48,Reg!$M$3:$P$200,4,0))</f>
        <v/>
      </c>
      <c r="J48" s="46" t="str">
        <f t="shared" si="12"/>
        <v/>
      </c>
      <c r="K48" s="49" t="str">
        <f t="shared" si="13"/>
        <v/>
      </c>
      <c r="N48" s="24" t="e">
        <f>VLOOKUP(45,Reg!$F$2:$M$202,8,0)</f>
        <v>#N/A</v>
      </c>
      <c r="O48" s="25" t="e">
        <f>VLOOKUP($B48,Reg!$M$3:$Q$202,5,0)</f>
        <v>#N/A</v>
      </c>
      <c r="P48" s="25" t="e">
        <f t="shared" si="14"/>
        <v>#VALUE!</v>
      </c>
      <c r="Q48" s="47">
        <f t="shared" si="15"/>
        <v>1000</v>
      </c>
      <c r="R48" s="54">
        <v>45</v>
      </c>
    </row>
    <row r="49" spans="1:18" x14ac:dyDescent="0.2">
      <c r="A49" s="26" t="str">
        <f t="shared" si="8"/>
        <v/>
      </c>
      <c r="B49" s="29" t="str">
        <f t="shared" si="9"/>
        <v/>
      </c>
      <c r="C49" s="43" t="str">
        <f>IF(ISNA($N49),"",VLOOKUP($B49,Reg!$M$3:$N$202,2,0))</f>
        <v/>
      </c>
      <c r="D49" s="31" t="str">
        <f>IF(ISNA($N49),"",VLOOKUP($B49,Reg!$M$3:$O$202,3,0))</f>
        <v/>
      </c>
      <c r="E49" s="35"/>
      <c r="F49" s="41"/>
      <c r="G49" s="36" t="str">
        <f t="shared" si="10"/>
        <v/>
      </c>
      <c r="H49" s="38" t="str">
        <f t="shared" si="11"/>
        <v/>
      </c>
      <c r="I49" s="29" t="str">
        <f>IF(ISNA($N49),"",VLOOKUP($B49,Reg!$M$3:$P$200,4,0))</f>
        <v/>
      </c>
      <c r="J49" s="46" t="str">
        <f t="shared" si="12"/>
        <v/>
      </c>
      <c r="K49" s="49" t="str">
        <f t="shared" si="13"/>
        <v/>
      </c>
      <c r="N49" s="24" t="e">
        <f>VLOOKUP(46,Reg!$F$2:$M$202,8,0)</f>
        <v>#N/A</v>
      </c>
      <c r="O49" s="25" t="e">
        <f>VLOOKUP($B49,Reg!$M$3:$Q$202,5,0)</f>
        <v>#N/A</v>
      </c>
      <c r="P49" s="25" t="e">
        <f t="shared" si="14"/>
        <v>#VALUE!</v>
      </c>
      <c r="Q49" s="47">
        <f t="shared" si="15"/>
        <v>1000</v>
      </c>
      <c r="R49" s="54">
        <v>46</v>
      </c>
    </row>
    <row r="50" spans="1:18" x14ac:dyDescent="0.2">
      <c r="A50" s="26" t="str">
        <f t="shared" si="8"/>
        <v/>
      </c>
      <c r="B50" s="29" t="str">
        <f t="shared" si="9"/>
        <v/>
      </c>
      <c r="C50" s="43" t="str">
        <f>IF(ISNA($N50),"",VLOOKUP($B50,Reg!$M$3:$N$202,2,0))</f>
        <v/>
      </c>
      <c r="D50" s="31" t="str">
        <f>IF(ISNA($N50),"",VLOOKUP($B50,Reg!$M$3:$O$202,3,0))</f>
        <v/>
      </c>
      <c r="E50" s="35"/>
      <c r="F50" s="41"/>
      <c r="G50" s="36" t="str">
        <f t="shared" si="10"/>
        <v/>
      </c>
      <c r="H50" s="38" t="str">
        <f t="shared" si="11"/>
        <v/>
      </c>
      <c r="I50" s="29" t="str">
        <f>IF(ISNA($N50),"",VLOOKUP($B50,Reg!$M$3:$P$200,4,0))</f>
        <v/>
      </c>
      <c r="J50" s="46" t="str">
        <f t="shared" si="12"/>
        <v/>
      </c>
      <c r="K50" s="49" t="str">
        <f t="shared" si="13"/>
        <v/>
      </c>
      <c r="N50" s="24" t="e">
        <f>VLOOKUP(47,Reg!$F$2:$M$202,8,0)</f>
        <v>#N/A</v>
      </c>
      <c r="O50" s="25" t="e">
        <f>VLOOKUP($B50,Reg!$M$3:$Q$202,5,0)</f>
        <v>#N/A</v>
      </c>
      <c r="P50" s="25" t="e">
        <f t="shared" si="14"/>
        <v>#VALUE!</v>
      </c>
      <c r="Q50" s="47">
        <f t="shared" si="15"/>
        <v>1000</v>
      </c>
      <c r="R50" s="54">
        <v>47</v>
      </c>
    </row>
    <row r="51" spans="1:18" x14ac:dyDescent="0.2">
      <c r="A51" s="26" t="str">
        <f t="shared" ref="A51:A53" si="16">IF($B51="","",ROW()-3)</f>
        <v/>
      </c>
      <c r="B51" s="29" t="str">
        <f t="shared" ref="B51:B53" si="17">IF(ISNA($N51),"",$N51)</f>
        <v/>
      </c>
      <c r="C51" s="43" t="str">
        <f>IF(ISNA($N51),"",VLOOKUP($B51,Reg!$M$3:$N$202,2,0))</f>
        <v/>
      </c>
      <c r="D51" s="31" t="str">
        <f>IF(ISNA($N51),"",VLOOKUP($B51,Reg!$M$3:$O$202,3,0))</f>
        <v/>
      </c>
      <c r="E51" s="35"/>
      <c r="F51" s="41"/>
      <c r="G51" s="36" t="str">
        <f t="shared" ref="G51:G53" si="18">IF(ISBLANK($E51),"",IF(ISBLANK($F51),0,$F51*2))</f>
        <v/>
      </c>
      <c r="H51" s="38" t="str">
        <f t="shared" ref="H51:H53" si="19">IF(ISBLANK($E51),"",TEXT($P51,"###")&amp;IF($P51=0,""," мин ")&amp;TEXT($E51+$G51-$P51*60,"###,###")&amp;" с")</f>
        <v/>
      </c>
      <c r="I51" s="29" t="str">
        <f>IF(ISNA($N51),"",VLOOKUP($B51,Reg!$M$3:$P$200,4,0))</f>
        <v/>
      </c>
      <c r="J51" s="46" t="str">
        <f t="shared" si="12"/>
        <v/>
      </c>
      <c r="K51" s="49" t="str">
        <f t="shared" ref="K51:K53" si="20">IF($E51&gt;0,RANK($Q51,$Q$4:$Q$50,1),"")</f>
        <v/>
      </c>
      <c r="N51" s="24" t="e">
        <f>VLOOKUP(47,Reg!$F$2:$M$202,8,0)</f>
        <v>#N/A</v>
      </c>
      <c r="O51" s="25" t="e">
        <f>VLOOKUP($B51,Reg!$M$3:$Q$202,5,0)</f>
        <v>#N/A</v>
      </c>
      <c r="P51" s="25" t="e">
        <f t="shared" ref="P51:P53" si="21">INT((E51+G51)/60)</f>
        <v>#VALUE!</v>
      </c>
      <c r="Q51" s="47">
        <f t="shared" ref="Q51:Q53" si="22">IF($E51&gt;0,$E51+$G51,1000)</f>
        <v>1000</v>
      </c>
      <c r="R51" s="54">
        <v>48</v>
      </c>
    </row>
    <row r="52" spans="1:18" x14ac:dyDescent="0.2">
      <c r="A52" s="26" t="str">
        <f t="shared" si="16"/>
        <v/>
      </c>
      <c r="B52" s="29" t="str">
        <f t="shared" si="17"/>
        <v/>
      </c>
      <c r="C52" s="43" t="str">
        <f>IF(ISNA($N52),"",VLOOKUP($B52,Reg!$M$3:$N$202,2,0))</f>
        <v/>
      </c>
      <c r="D52" s="31" t="str">
        <f>IF(ISNA($N52),"",VLOOKUP($B52,Reg!$M$3:$O$202,3,0))</f>
        <v/>
      </c>
      <c r="E52" s="35"/>
      <c r="F52" s="41"/>
      <c r="G52" s="36" t="str">
        <f t="shared" si="18"/>
        <v/>
      </c>
      <c r="H52" s="38" t="str">
        <f t="shared" si="19"/>
        <v/>
      </c>
      <c r="I52" s="29" t="str">
        <f>IF(ISNA($N52),"",VLOOKUP($B52,Reg!$M$3:$P$200,4,0))</f>
        <v/>
      </c>
      <c r="J52" s="46" t="str">
        <f t="shared" si="12"/>
        <v/>
      </c>
      <c r="K52" s="49" t="str">
        <f t="shared" si="20"/>
        <v/>
      </c>
      <c r="N52" s="24" t="e">
        <f>VLOOKUP(47,Reg!$F$2:$M$202,8,0)</f>
        <v>#N/A</v>
      </c>
      <c r="O52" s="25" t="e">
        <f>VLOOKUP($B52,Reg!$M$3:$Q$202,5,0)</f>
        <v>#N/A</v>
      </c>
      <c r="P52" s="25" t="e">
        <f t="shared" si="21"/>
        <v>#VALUE!</v>
      </c>
      <c r="Q52" s="47">
        <f t="shared" si="22"/>
        <v>1000</v>
      </c>
      <c r="R52" s="54">
        <v>49</v>
      </c>
    </row>
    <row r="53" spans="1:18" x14ac:dyDescent="0.2">
      <c r="A53" s="26" t="str">
        <f t="shared" si="16"/>
        <v/>
      </c>
      <c r="B53" s="29" t="str">
        <f t="shared" si="17"/>
        <v/>
      </c>
      <c r="C53" s="43" t="str">
        <f>IF(ISNA($N53),"",VLOOKUP($B53,Reg!$M$3:$N$202,2,0))</f>
        <v/>
      </c>
      <c r="D53" s="31" t="str">
        <f>IF(ISNA($N53),"",VLOOKUP($B53,Reg!$M$3:$O$202,3,0))</f>
        <v/>
      </c>
      <c r="E53" s="35"/>
      <c r="F53" s="41"/>
      <c r="G53" s="36" t="str">
        <f t="shared" si="18"/>
        <v/>
      </c>
      <c r="H53" s="38" t="str">
        <f t="shared" si="19"/>
        <v/>
      </c>
      <c r="I53" s="29" t="str">
        <f>IF(ISNA($N53),"",VLOOKUP($B53,Reg!$M$3:$P$200,4,0))</f>
        <v/>
      </c>
      <c r="J53" s="46" t="str">
        <f t="shared" si="12"/>
        <v/>
      </c>
      <c r="K53" s="49" t="str">
        <f t="shared" si="20"/>
        <v/>
      </c>
      <c r="N53" s="24" t="e">
        <f>VLOOKUP(47,Reg!$F$2:$M$202,8,0)</f>
        <v>#N/A</v>
      </c>
      <c r="O53" s="25" t="e">
        <f>VLOOKUP($B53,Reg!$M$3:$Q$202,5,0)</f>
        <v>#N/A</v>
      </c>
      <c r="P53" s="25" t="e">
        <f t="shared" si="21"/>
        <v>#VALUE!</v>
      </c>
      <c r="Q53" s="47">
        <f t="shared" si="22"/>
        <v>1000</v>
      </c>
      <c r="R53" s="54">
        <v>50</v>
      </c>
    </row>
  </sheetData>
  <sortState ref="A4:R9">
    <sortCondition ref="K4:K9"/>
  </sortState>
  <mergeCells count="2">
    <mergeCell ref="A2:J2"/>
    <mergeCell ref="A1:K1"/>
  </mergeCells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zoomScaleNormal="100" workbookViewId="0">
      <selection activeCell="C12" sqref="C12"/>
    </sheetView>
  </sheetViews>
  <sheetFormatPr defaultRowHeight="15" x14ac:dyDescent="0.2"/>
  <cols>
    <col min="1" max="1" width="4.7109375" style="28" customWidth="1"/>
    <col min="2" max="2" width="6.85546875" style="28" customWidth="1"/>
    <col min="3" max="3" width="28.5703125" style="44" customWidth="1"/>
    <col min="4" max="4" width="11.5703125" style="28" customWidth="1"/>
    <col min="5" max="5" width="8.7109375" style="28" customWidth="1"/>
    <col min="6" max="6" width="5.42578125" style="28" customWidth="1"/>
    <col min="7" max="7" width="5.7109375" style="28" customWidth="1"/>
    <col min="8" max="8" width="14.7109375" style="28" customWidth="1"/>
    <col min="9" max="9" width="17.5703125" style="28" customWidth="1"/>
    <col min="10" max="10" width="26.7109375" style="44" customWidth="1"/>
    <col min="11" max="11" width="4.28515625" style="28" customWidth="1"/>
    <col min="12" max="12" width="9.140625" style="28"/>
    <col min="13" max="13" width="9.140625" style="28" customWidth="1"/>
    <col min="14" max="16" width="9.140625" style="28" hidden="1" customWidth="1"/>
    <col min="17" max="17" width="11.28515625" style="28" hidden="1" customWidth="1"/>
    <col min="18" max="18" width="6.140625" style="54" hidden="1" customWidth="1"/>
    <col min="19" max="16384" width="9.140625" style="28"/>
  </cols>
  <sheetData>
    <row r="1" spans="1:18" s="19" customFormat="1" ht="25.5" customHeight="1" x14ac:dyDescent="0.25">
      <c r="A1" s="90" t="s">
        <v>391</v>
      </c>
      <c r="B1" s="91"/>
      <c r="C1" s="91"/>
      <c r="D1" s="91"/>
      <c r="E1" s="91"/>
      <c r="F1" s="91"/>
      <c r="G1" s="91"/>
      <c r="H1" s="91"/>
      <c r="I1" s="91"/>
      <c r="J1" s="91"/>
      <c r="K1" s="92"/>
      <c r="L1" s="17"/>
      <c r="M1" s="17"/>
      <c r="N1" s="17">
        <f>YEAR(Reg!L1)</f>
        <v>2014</v>
      </c>
      <c r="O1" s="18"/>
    </row>
    <row r="2" spans="1:18" s="22" customFormat="1" ht="25.5" customHeight="1" thickBot="1" x14ac:dyDescent="0.25">
      <c r="A2" s="88" t="str">
        <f>"Группа C (мальчики "&amp;Reg!E1&amp;"-"&amp;Reg!G1-1&amp;": "&amp;$N$1-Reg!E1&amp;"-"&amp;$N$1-Reg!G1+1&amp;" г.р.)"</f>
        <v>Группа C (мальчики 11-14: 2003-2000 г.р.)</v>
      </c>
      <c r="B2" s="89"/>
      <c r="C2" s="89"/>
      <c r="D2" s="89"/>
      <c r="E2" s="89"/>
      <c r="F2" s="89"/>
      <c r="G2" s="89"/>
      <c r="H2" s="89"/>
      <c r="I2" s="89"/>
      <c r="J2" s="89"/>
      <c r="K2" s="50"/>
      <c r="L2" s="20"/>
      <c r="M2" s="20"/>
      <c r="N2" s="20"/>
      <c r="O2" s="21"/>
    </row>
    <row r="3" spans="1:18" s="25" customFormat="1" ht="44.25" customHeight="1" thickBot="1" x14ac:dyDescent="0.25">
      <c r="A3" s="23" t="s">
        <v>5</v>
      </c>
      <c r="B3" s="64" t="s">
        <v>4</v>
      </c>
      <c r="C3" s="42" t="s">
        <v>0</v>
      </c>
      <c r="D3" s="32" t="s">
        <v>6</v>
      </c>
      <c r="E3" s="33" t="s">
        <v>15</v>
      </c>
      <c r="F3" s="62" t="s">
        <v>7</v>
      </c>
      <c r="G3" s="63" t="s">
        <v>16</v>
      </c>
      <c r="H3" s="23" t="s">
        <v>17</v>
      </c>
      <c r="I3" s="32" t="s">
        <v>2</v>
      </c>
      <c r="J3" s="42" t="s">
        <v>3</v>
      </c>
      <c r="K3" s="65" t="s">
        <v>18</v>
      </c>
      <c r="L3" s="24"/>
      <c r="M3" s="24"/>
      <c r="N3" s="24"/>
    </row>
    <row r="4" spans="1:18" s="25" customFormat="1" ht="15" customHeight="1" x14ac:dyDescent="0.2">
      <c r="A4" s="26">
        <f>IF($B4="","",ROW()-3)</f>
        <v>1</v>
      </c>
      <c r="B4" s="29">
        <f>IF(ISNA($N4),"",$N4)</f>
        <v>13</v>
      </c>
      <c r="C4" s="43" t="str">
        <f>IF(ISNA($N4),"",VLOOKUP($B4,Reg!$M$3:$N$202,2,0))</f>
        <v>Тихонов Егор</v>
      </c>
      <c r="D4" s="30">
        <f>IF(ISNA($N4),"",VLOOKUP($B4,Reg!$M$3:$O$202,3,0))</f>
        <v>37818</v>
      </c>
      <c r="E4" s="34">
        <v>42.857999999999997</v>
      </c>
      <c r="F4" s="40">
        <v>1</v>
      </c>
      <c r="G4" s="53">
        <f>IF(ISBLANK($E4),"",IF(ISBLANK($F4),0,$F4*2))</f>
        <v>2</v>
      </c>
      <c r="H4" s="37" t="str">
        <f>IF(ISBLANK($E4),"",TEXT($P4,"###")&amp;IF($P4=0,""," мин ")&amp;TEXT($E4+$G4-$P4*60,"###,###")&amp;" с")</f>
        <v>44,858 с</v>
      </c>
      <c r="I4" s="29" t="str">
        <f>IF(ISNA($N4),"",VLOOKUP($B4,Reg!$M$3:$P$200,4,0))</f>
        <v>Ульяновск</v>
      </c>
      <c r="J4" s="45" t="str">
        <f>IF(ISNA($O4),"",IF($O4=0,"",$O4))</f>
        <v>UNITY</v>
      </c>
      <c r="K4" s="48">
        <f>IF($E4&gt;0,RANK($Q4,$Q$4:$Q$50,1),"")</f>
        <v>1</v>
      </c>
      <c r="L4" s="27"/>
      <c r="M4" s="27"/>
      <c r="N4" s="24">
        <f>VLOOKUP(6,Reg!$E$2:$M$202,9,0)</f>
        <v>13</v>
      </c>
      <c r="O4" s="25" t="str">
        <f>VLOOKUP($B4,Reg!$M$3:$Q$202,5,0)</f>
        <v>UNITY</v>
      </c>
      <c r="P4" s="25">
        <f>INT((E4+G4)/60)</f>
        <v>0</v>
      </c>
      <c r="Q4" s="47">
        <f>IF($E4&gt;0,$E4+$G4,1000)</f>
        <v>44.857999999999997</v>
      </c>
      <c r="R4" s="25">
        <v>6</v>
      </c>
    </row>
    <row r="5" spans="1:18" s="25" customFormat="1" ht="15" customHeight="1" x14ac:dyDescent="0.2">
      <c r="A5" s="26">
        <f>IF($B5="","",ROW()-3)</f>
        <v>2</v>
      </c>
      <c r="B5" s="29">
        <f>IF(ISNA($N5),"",$N5)</f>
        <v>22</v>
      </c>
      <c r="C5" s="43" t="str">
        <f>IF(ISNA($N5),"",VLOOKUP($B5,Reg!$M$3:$N$202,2,0))</f>
        <v>Максимов Никита</v>
      </c>
      <c r="D5" s="31">
        <f>IF(ISNA($N5),"",VLOOKUP($B5,Reg!$M$3:$O$202,3,0))</f>
        <v>37851</v>
      </c>
      <c r="E5" s="35">
        <v>44.575000000000003</v>
      </c>
      <c r="F5" s="41">
        <v>1</v>
      </c>
      <c r="G5" s="36">
        <f>IF(ISBLANK($E5),"",IF(ISBLANK($F5),0,$F5*2))</f>
        <v>2</v>
      </c>
      <c r="H5" s="38" t="str">
        <f>IF(ISBLANK($E5),"",TEXT($P5,"###")&amp;IF($P5=0,""," мин ")&amp;TEXT($E5+$G5-$P5*60,"###,###")&amp;" с")</f>
        <v>46,575 с</v>
      </c>
      <c r="I5" s="29" t="str">
        <f>IF(ISNA($N5),"",VLOOKUP($B5,Reg!$M$3:$P$200,4,0))</f>
        <v>Ульяновск</v>
      </c>
      <c r="J5" s="46" t="str">
        <f>IF(ISNA($O5),"",IF($O5=0,"",$O5))</f>
        <v xml:space="preserve"> </v>
      </c>
      <c r="K5" s="49">
        <f>IF($E5&gt;0,RANK($Q5,$Q$4:$Q$50,1),"")</f>
        <v>2</v>
      </c>
      <c r="L5" s="24"/>
      <c r="M5" s="24"/>
      <c r="N5" s="24">
        <f>VLOOKUP(5,Reg!$E$2:$M$202,9,0)</f>
        <v>22</v>
      </c>
      <c r="O5" s="25" t="str">
        <f>VLOOKUP($B5,Reg!$M$3:$Q$202,5,0)</f>
        <v xml:space="preserve"> </v>
      </c>
      <c r="P5" s="25">
        <f>INT((E5+G5)/60)</f>
        <v>0</v>
      </c>
      <c r="Q5" s="47">
        <f>IF($E5&gt;0,$E5+$G5,1000)</f>
        <v>46.575000000000003</v>
      </c>
      <c r="R5" s="25">
        <v>5</v>
      </c>
    </row>
    <row r="6" spans="1:18" s="25" customFormat="1" ht="15" customHeight="1" x14ac:dyDescent="0.2">
      <c r="A6" s="26">
        <f>IF($B6="","",ROW()-3)</f>
        <v>3</v>
      </c>
      <c r="B6" s="29">
        <f>IF(ISNA($N6),"",$N6)</f>
        <v>2</v>
      </c>
      <c r="C6" s="43" t="str">
        <f>IF(ISNA($N6),"",VLOOKUP($B6,Reg!$M$3:$N$202,2,0))</f>
        <v>Цопанов Герман</v>
      </c>
      <c r="D6" s="31">
        <f>IF(ISNA($N6),"",VLOOKUP($B6,Reg!$M$3:$O$202,3,0))</f>
        <v>37861</v>
      </c>
      <c r="E6" s="35">
        <v>47.79</v>
      </c>
      <c r="F6" s="41"/>
      <c r="G6" s="36">
        <f>IF(ISBLANK($E6),"",IF(ISBLANK($F6),0,$F6*2))</f>
        <v>0</v>
      </c>
      <c r="H6" s="38" t="str">
        <f>IF(ISBLANK($E6),"",TEXT($P6,"###")&amp;IF($P6=0,""," мин ")&amp;TEXT($E6+$G6-$P6*60,"###,###")&amp;" с")</f>
        <v>47,79 с</v>
      </c>
      <c r="I6" s="29" t="str">
        <f>IF(ISNA($N6),"",VLOOKUP($B6,Reg!$M$3:$P$200,4,0))</f>
        <v>Ульяновск</v>
      </c>
      <c r="J6" s="46" t="str">
        <f>IF(ISNA($O6),"",IF($O6=0,"",$O6))</f>
        <v xml:space="preserve"> </v>
      </c>
      <c r="K6" s="49">
        <f>IF($E6&gt;0,RANK($Q6,$Q$4:$Q$50,1),"")</f>
        <v>3</v>
      </c>
      <c r="L6" s="27"/>
      <c r="M6" s="27"/>
      <c r="N6" s="24">
        <f>VLOOKUP(7,Reg!$E$2:$M$202,9,0)</f>
        <v>2</v>
      </c>
      <c r="O6" s="25" t="str">
        <f>VLOOKUP($B6,Reg!$M$3:$Q$202,5,0)</f>
        <v xml:space="preserve"> </v>
      </c>
      <c r="P6" s="25">
        <f>INT((E6+G6)/60)</f>
        <v>0</v>
      </c>
      <c r="Q6" s="47">
        <f>IF($E6&gt;0,$E6+$G6,1000)</f>
        <v>47.79</v>
      </c>
      <c r="R6" s="25">
        <v>7</v>
      </c>
    </row>
    <row r="7" spans="1:18" s="25" customFormat="1" ht="15" customHeight="1" x14ac:dyDescent="0.2">
      <c r="A7" s="26">
        <f>IF($B7="","",ROW()-3)</f>
        <v>4</v>
      </c>
      <c r="B7" s="29">
        <f>IF(ISNA($N7),"",$N7)</f>
        <v>46</v>
      </c>
      <c r="C7" s="43" t="str">
        <f>IF(ISNA($N7),"",VLOOKUP($B7,Reg!$M$3:$N$202,2,0))</f>
        <v>Белавинский Кирилл</v>
      </c>
      <c r="D7" s="31">
        <f>IF(ISNA($N7),"",VLOOKUP($B7,Reg!$M$3:$O$202,3,0))</f>
        <v>36961</v>
      </c>
      <c r="E7" s="35">
        <v>49.923999999999999</v>
      </c>
      <c r="F7" s="41">
        <v>1</v>
      </c>
      <c r="G7" s="36">
        <f>IF(ISBLANK($E7),"",IF(ISBLANK($F7),0,$F7*2))</f>
        <v>2</v>
      </c>
      <c r="H7" s="38" t="str">
        <f>IF(ISBLANK($E7),"",TEXT($P7,"###")&amp;IF($P7=0,""," мин ")&amp;TEXT($E7+$G7-$P7*60,"###,###")&amp;" с")</f>
        <v>51,924 с</v>
      </c>
      <c r="I7" s="29" t="str">
        <f>IF(ISNA($N7),"",VLOOKUP($B7,Reg!$M$3:$P$200,4,0))</f>
        <v>Ульяновск</v>
      </c>
      <c r="J7" s="46" t="str">
        <f>IF(ISNA($O7),"",IF($O7=0,"",$O7))</f>
        <v xml:space="preserve"> </v>
      </c>
      <c r="K7" s="49">
        <f>IF($E7&gt;0,RANK($Q7,$Q$4:$Q$50,1),"")</f>
        <v>4</v>
      </c>
      <c r="L7" s="27"/>
      <c r="M7" s="27"/>
      <c r="N7" s="24">
        <f>VLOOKUP(1,Reg!$E$2:$M$202,9,0)</f>
        <v>46</v>
      </c>
      <c r="O7" s="25" t="str">
        <f>VLOOKUP($B7,Reg!$M$3:$Q$202,5,0)</f>
        <v xml:space="preserve"> </v>
      </c>
      <c r="P7" s="25">
        <f>INT((E7+G7)/60)</f>
        <v>0</v>
      </c>
      <c r="Q7" s="47">
        <f>IF($E7&gt;0,$E7+$G7,1000)</f>
        <v>51.923999999999999</v>
      </c>
      <c r="R7" s="25">
        <v>1</v>
      </c>
    </row>
    <row r="8" spans="1:18" s="25" customFormat="1" ht="15" customHeight="1" x14ac:dyDescent="0.2">
      <c r="A8" s="26">
        <f>IF($B8="","",ROW()-3)</f>
        <v>5</v>
      </c>
      <c r="B8" s="29">
        <f>IF(ISNA($N8),"",$N8)</f>
        <v>20</v>
      </c>
      <c r="C8" s="43" t="str">
        <f>IF(ISNA($N8),"",VLOOKUP($B8,Reg!$M$3:$N$202,2,0))</f>
        <v>Зинько Тимофей</v>
      </c>
      <c r="D8" s="31">
        <f>IF(ISNA($N8),"",VLOOKUP($B8,Reg!$M$3:$O$202,3,0))</f>
        <v>37773</v>
      </c>
      <c r="E8" s="35">
        <v>59.064999999999998</v>
      </c>
      <c r="F8" s="41"/>
      <c r="G8" s="36">
        <f>IF(ISBLANK($E8),"",IF(ISBLANK($F8),0,$F8*2))</f>
        <v>0</v>
      </c>
      <c r="H8" s="38" t="str">
        <f>IF(ISBLANK($E8),"",TEXT($P8,"###")&amp;IF($P8=0,""," мин ")&amp;TEXT($E8+$G8-$P8*60,"###,###")&amp;" с")</f>
        <v>59,065 с</v>
      </c>
      <c r="I8" s="29" t="str">
        <f>IF(ISNA($N8),"",VLOOKUP($B8,Reg!$M$3:$P$200,4,0))</f>
        <v>Ульяновск</v>
      </c>
      <c r="J8" s="46" t="str">
        <f>IF(ISNA($O8),"",IF($O8=0,"",$O8))</f>
        <v xml:space="preserve"> </v>
      </c>
      <c r="K8" s="49">
        <f>IF($E8&gt;0,RANK($Q8,$Q$4:$Q$50,1),"")</f>
        <v>5</v>
      </c>
      <c r="L8" s="27"/>
      <c r="M8" s="27"/>
      <c r="N8" s="24">
        <f>VLOOKUP(2,Reg!$E$2:$M$202,9,0)</f>
        <v>20</v>
      </c>
      <c r="O8" s="25" t="str">
        <f>VLOOKUP($B8,Reg!$M$3:$Q$202,5,0)</f>
        <v xml:space="preserve"> </v>
      </c>
      <c r="P8" s="25">
        <f>INT((E8+G8)/60)</f>
        <v>0</v>
      </c>
      <c r="Q8" s="47">
        <f>IF($E8&gt;0,$E8+$G8,1000)</f>
        <v>59.064999999999998</v>
      </c>
      <c r="R8" s="25">
        <v>2</v>
      </c>
    </row>
    <row r="9" spans="1:18" s="25" customFormat="1" ht="15" customHeight="1" x14ac:dyDescent="0.2">
      <c r="A9" s="26">
        <f>IF($B9="","",ROW()-3)</f>
        <v>6</v>
      </c>
      <c r="B9" s="29">
        <f>IF(ISNA($N9),"",$N9)</f>
        <v>25</v>
      </c>
      <c r="C9" s="43" t="str">
        <f>IF(ISNA($N9),"",VLOOKUP($B9,Reg!$M$3:$N$202,2,0))</f>
        <v>Конаков Никита</v>
      </c>
      <c r="D9" s="31">
        <f>IF(ISNA($N9),"",VLOOKUP($B9,Reg!$M$3:$O$202,3,0))</f>
        <v>37916</v>
      </c>
      <c r="E9" s="35">
        <v>58.741999999999997</v>
      </c>
      <c r="F9" s="41">
        <v>2</v>
      </c>
      <c r="G9" s="36">
        <f>IF(ISBLANK($E9),"",IF(ISBLANK($F9),0,$F9*2))</f>
        <v>4</v>
      </c>
      <c r="H9" s="38" t="str">
        <f>IF(ISBLANK($E9),"",TEXT($P9,"###")&amp;IF($P9=0,""," мин ")&amp;TEXT($E9+$G9-$P9*60,"###,###")&amp;" с")</f>
        <v>1 мин 2,742 с</v>
      </c>
      <c r="I9" s="29" t="str">
        <f>IF(ISNA($N9),"",VLOOKUP($B9,Reg!$M$3:$P$200,4,0))</f>
        <v>Ульяновск</v>
      </c>
      <c r="J9" s="46" t="str">
        <f>IF(ISNA($O9),"",IF($O9=0,"",$O9))</f>
        <v>UNITY</v>
      </c>
      <c r="K9" s="49">
        <f>IF($E9&gt;0,RANK($Q9,$Q$4:$Q$50,1),"")</f>
        <v>6</v>
      </c>
      <c r="L9" s="27"/>
      <c r="M9" s="27"/>
      <c r="N9" s="24">
        <f>VLOOKUP(3,Reg!$E$2:$M$202,9,0)</f>
        <v>25</v>
      </c>
      <c r="O9" s="25" t="str">
        <f>VLOOKUP($B9,Reg!$M$3:$Q$202,5,0)</f>
        <v>UNITY</v>
      </c>
      <c r="P9" s="25">
        <f>INT((E9+G9)/60)</f>
        <v>1</v>
      </c>
      <c r="Q9" s="47">
        <f>IF($E9&gt;0,$E9+$G9,1000)</f>
        <v>62.741999999999997</v>
      </c>
      <c r="R9" s="25">
        <v>3</v>
      </c>
    </row>
    <row r="10" spans="1:18" s="25" customFormat="1" ht="15" customHeight="1" x14ac:dyDescent="0.2">
      <c r="A10" s="26">
        <f>IF($B10="","",ROW()-3)</f>
        <v>7</v>
      </c>
      <c r="B10" s="29">
        <f>IF(ISNA($N10),"",$N10)</f>
        <v>52</v>
      </c>
      <c r="C10" s="43" t="str">
        <f>IF(ISNA($N10),"",VLOOKUP($B10,Reg!$M$3:$N$202,2,0))</f>
        <v>Максимов Артем</v>
      </c>
      <c r="D10" s="31">
        <f>IF(ISNA($N10),"",VLOOKUP($B10,Reg!$M$3:$O$202,3,0))</f>
        <v>37617</v>
      </c>
      <c r="E10" s="35">
        <v>69.631</v>
      </c>
      <c r="F10" s="41"/>
      <c r="G10" s="36">
        <f>IF(ISBLANK($E10),"",IF(ISBLANK($F10),0,$F10*2))</f>
        <v>0</v>
      </c>
      <c r="H10" s="38" t="str">
        <f>IF(ISBLANK($E10),"",TEXT($P10,"###")&amp;IF($P10=0,""," мин ")&amp;TEXT($E10+$G10-$P10*60,"###,###")&amp;" с")</f>
        <v>1 мин 9,631 с</v>
      </c>
      <c r="I10" s="29" t="str">
        <f>IF(ISNA($N10),"",VLOOKUP($B10,Reg!$M$3:$P$200,4,0))</f>
        <v>Ульяновск</v>
      </c>
      <c r="J10" s="46" t="str">
        <f>IF(ISNA($O10),"",IF($O10=0,"",$O10))</f>
        <v xml:space="preserve"> </v>
      </c>
      <c r="K10" s="49">
        <f>IF($E10&gt;0,RANK($Q10,$Q$4:$Q$50,1),"")</f>
        <v>7</v>
      </c>
      <c r="L10" s="24"/>
      <c r="M10" s="24"/>
      <c r="N10" s="24">
        <f>VLOOKUP(4,Reg!$E$2:$M$202,9,0)</f>
        <v>52</v>
      </c>
      <c r="O10" s="25" t="str">
        <f>VLOOKUP($B10,Reg!$M$3:$Q$202,5,0)</f>
        <v xml:space="preserve"> </v>
      </c>
      <c r="P10" s="25">
        <f>INT((E10+G10)/60)</f>
        <v>1</v>
      </c>
      <c r="Q10" s="47">
        <f>IF($E10&gt;0,$E10+$G10,1000)</f>
        <v>69.631</v>
      </c>
      <c r="R10" s="25">
        <v>4</v>
      </c>
    </row>
    <row r="11" spans="1:18" s="25" customFormat="1" ht="15" customHeight="1" x14ac:dyDescent="0.2">
      <c r="A11" s="26" t="str">
        <f t="shared" ref="A4:A43" si="0">IF($B11="","",ROW()-3)</f>
        <v/>
      </c>
      <c r="B11" s="29" t="str">
        <f t="shared" ref="B4:B43" si="1">IF(ISNA($N11),"",$N11)</f>
        <v/>
      </c>
      <c r="C11" s="43" t="str">
        <f>IF(ISNA($N11),"",VLOOKUP($B11,Reg!$M$3:$N$202,2,0))</f>
        <v/>
      </c>
      <c r="D11" s="31" t="str">
        <f>IF(ISNA($N11),"",VLOOKUP($B11,Reg!$M$3:$O$202,3,0))</f>
        <v/>
      </c>
      <c r="E11" s="35"/>
      <c r="F11" s="41"/>
      <c r="G11" s="36" t="str">
        <f t="shared" ref="G4:G43" si="2">IF(ISBLANK($E11),"",IF(ISBLANK($F11),0,$F11*2))</f>
        <v/>
      </c>
      <c r="H11" s="38" t="str">
        <f t="shared" ref="H4:H43" si="3">IF(ISBLANK($E11),"",TEXT($P11,"###")&amp;IF($P11=0,""," мин ")&amp;TEXT($E11+$G11-$P11*60,"###,###")&amp;" с")</f>
        <v/>
      </c>
      <c r="I11" s="29" t="str">
        <f>IF(ISNA($N11),"",VLOOKUP($B11,Reg!$M$3:$P$200,4,0))</f>
        <v/>
      </c>
      <c r="J11" s="46" t="str">
        <f t="shared" ref="J4:J43" si="4">IF(ISNA($O11),"",IF($O11=0,"",$O11))</f>
        <v/>
      </c>
      <c r="K11" s="49" t="str">
        <f t="shared" ref="K4:K43" si="5">IF($E11&gt;0,RANK($Q11,$Q$4:$Q$50,1),"")</f>
        <v/>
      </c>
      <c r="L11" s="27"/>
      <c r="M11" s="27"/>
      <c r="N11" s="24" t="e">
        <f>VLOOKUP(8,Reg!$E$2:$M$202,9,0)</f>
        <v>#N/A</v>
      </c>
      <c r="O11" s="25" t="e">
        <f>VLOOKUP($B11,Reg!$M$3:$Q$202,5,0)</f>
        <v>#N/A</v>
      </c>
      <c r="P11" s="25" t="e">
        <f t="shared" ref="P4:P43" si="6">INT((E11+G11)/60)</f>
        <v>#VALUE!</v>
      </c>
      <c r="Q11" s="47">
        <f t="shared" ref="Q4:Q43" si="7">IF($E11&gt;0,$E11+$G11,1000)</f>
        <v>1000</v>
      </c>
      <c r="R11" s="25">
        <v>8</v>
      </c>
    </row>
    <row r="12" spans="1:18" s="25" customFormat="1" ht="15" customHeight="1" x14ac:dyDescent="0.2">
      <c r="A12" s="26" t="str">
        <f t="shared" si="0"/>
        <v/>
      </c>
      <c r="B12" s="29" t="str">
        <f t="shared" si="1"/>
        <v/>
      </c>
      <c r="C12" s="43" t="str">
        <f>IF(ISNA($N12),"",VLOOKUP($B12,Reg!$M$3:$N$202,2,0))</f>
        <v/>
      </c>
      <c r="D12" s="31" t="str">
        <f>IF(ISNA($N12),"",VLOOKUP($B12,Reg!$M$3:$O$202,3,0))</f>
        <v/>
      </c>
      <c r="E12" s="35"/>
      <c r="F12" s="41"/>
      <c r="G12" s="36" t="str">
        <f t="shared" si="2"/>
        <v/>
      </c>
      <c r="H12" s="38" t="str">
        <f t="shared" si="3"/>
        <v/>
      </c>
      <c r="I12" s="29" t="str">
        <f>IF(ISNA($N12),"",VLOOKUP($B12,Reg!$M$3:$P$200,4,0))</f>
        <v/>
      </c>
      <c r="J12" s="46" t="str">
        <f t="shared" si="4"/>
        <v/>
      </c>
      <c r="K12" s="49" t="str">
        <f t="shared" si="5"/>
        <v/>
      </c>
      <c r="L12" s="27"/>
      <c r="M12" s="27"/>
      <c r="N12" s="24" t="e">
        <f>VLOOKUP(9,Reg!$E$2:$M$202,9,0)</f>
        <v>#N/A</v>
      </c>
      <c r="O12" s="25" t="e">
        <f>VLOOKUP($B12,Reg!$M$3:$Q$202,5,0)</f>
        <v>#N/A</v>
      </c>
      <c r="P12" s="25" t="e">
        <f t="shared" si="6"/>
        <v>#VALUE!</v>
      </c>
      <c r="Q12" s="47">
        <f t="shared" si="7"/>
        <v>1000</v>
      </c>
      <c r="R12" s="25">
        <v>9</v>
      </c>
    </row>
    <row r="13" spans="1:18" ht="15" customHeight="1" x14ac:dyDescent="0.2">
      <c r="A13" s="26" t="str">
        <f t="shared" si="0"/>
        <v/>
      </c>
      <c r="B13" s="29" t="str">
        <f t="shared" si="1"/>
        <v/>
      </c>
      <c r="C13" s="43" t="str">
        <f>IF(ISNA($N13),"",VLOOKUP($B13,Reg!$M$3:$N$202,2,0))</f>
        <v/>
      </c>
      <c r="D13" s="31" t="str">
        <f>IF(ISNA($N13),"",VLOOKUP($B13,Reg!$M$3:$O$202,3,0))</f>
        <v/>
      </c>
      <c r="E13" s="35"/>
      <c r="F13" s="41"/>
      <c r="G13" s="36" t="str">
        <f t="shared" si="2"/>
        <v/>
      </c>
      <c r="H13" s="38" t="str">
        <f t="shared" si="3"/>
        <v/>
      </c>
      <c r="I13" s="29" t="str">
        <f>IF(ISNA($N13),"",VLOOKUP($B13,Reg!$M$3:$P$200,4,0))</f>
        <v/>
      </c>
      <c r="J13" s="46" t="str">
        <f t="shared" si="4"/>
        <v/>
      </c>
      <c r="K13" s="49" t="str">
        <f t="shared" si="5"/>
        <v/>
      </c>
      <c r="L13" s="27"/>
      <c r="M13" s="27"/>
      <c r="N13" s="24" t="e">
        <f>VLOOKUP(10,Reg!$E$2:$M$202,9,0)</f>
        <v>#N/A</v>
      </c>
      <c r="O13" s="25" t="e">
        <f>VLOOKUP($B13,Reg!$M$3:$Q$202,5,0)</f>
        <v>#N/A</v>
      </c>
      <c r="P13" s="25" t="e">
        <f t="shared" si="6"/>
        <v>#VALUE!</v>
      </c>
      <c r="Q13" s="47">
        <f t="shared" si="7"/>
        <v>1000</v>
      </c>
      <c r="R13" s="54">
        <v>10</v>
      </c>
    </row>
    <row r="14" spans="1:18" ht="15" customHeight="1" x14ac:dyDescent="0.2">
      <c r="A14" s="26" t="str">
        <f t="shared" si="0"/>
        <v/>
      </c>
      <c r="B14" s="29" t="str">
        <f t="shared" si="1"/>
        <v/>
      </c>
      <c r="C14" s="43" t="str">
        <f>IF(ISNA($N14),"",VLOOKUP($B14,Reg!$M$3:$N$202,2,0))</f>
        <v/>
      </c>
      <c r="D14" s="31" t="str">
        <f>IF(ISNA($N14),"",VLOOKUP($B14,Reg!$M$3:$O$202,3,0))</f>
        <v/>
      </c>
      <c r="E14" s="35"/>
      <c r="F14" s="41"/>
      <c r="G14" s="36" t="str">
        <f t="shared" si="2"/>
        <v/>
      </c>
      <c r="H14" s="38" t="str">
        <f t="shared" si="3"/>
        <v/>
      </c>
      <c r="I14" s="29" t="str">
        <f>IF(ISNA($N14),"",VLOOKUP($B14,Reg!$M$3:$P$200,4,0))</f>
        <v/>
      </c>
      <c r="J14" s="46" t="str">
        <f t="shared" si="4"/>
        <v/>
      </c>
      <c r="K14" s="49" t="str">
        <f t="shared" si="5"/>
        <v/>
      </c>
      <c r="L14" s="24"/>
      <c r="M14" s="24"/>
      <c r="N14" s="24" t="e">
        <f>VLOOKUP(11,Reg!$E$2:$M$202,9,0)</f>
        <v>#N/A</v>
      </c>
      <c r="O14" s="25" t="e">
        <f>VLOOKUP($B14,Reg!$M$3:$Q$202,5,0)</f>
        <v>#N/A</v>
      </c>
      <c r="P14" s="25" t="e">
        <f t="shared" si="6"/>
        <v>#VALUE!</v>
      </c>
      <c r="Q14" s="47">
        <f t="shared" si="7"/>
        <v>1000</v>
      </c>
      <c r="R14" s="54">
        <v>11</v>
      </c>
    </row>
    <row r="15" spans="1:18" ht="15" customHeight="1" x14ac:dyDescent="0.2">
      <c r="A15" s="26" t="str">
        <f t="shared" si="0"/>
        <v/>
      </c>
      <c r="B15" s="29" t="str">
        <f t="shared" si="1"/>
        <v/>
      </c>
      <c r="C15" s="43" t="str">
        <f>IF(ISNA($N15),"",VLOOKUP($B15,Reg!$M$3:$N$202,2,0))</f>
        <v/>
      </c>
      <c r="D15" s="31" t="str">
        <f>IF(ISNA($N15),"",VLOOKUP($B15,Reg!$M$3:$O$202,3,0))</f>
        <v/>
      </c>
      <c r="E15" s="35"/>
      <c r="F15" s="41"/>
      <c r="G15" s="36" t="str">
        <f t="shared" si="2"/>
        <v/>
      </c>
      <c r="H15" s="38" t="str">
        <f t="shared" si="3"/>
        <v/>
      </c>
      <c r="I15" s="29" t="str">
        <f>IF(ISNA($N15),"",VLOOKUP($B15,Reg!$M$3:$P$200,4,0))</f>
        <v/>
      </c>
      <c r="J15" s="46" t="str">
        <f t="shared" si="4"/>
        <v/>
      </c>
      <c r="K15" s="49" t="str">
        <f t="shared" si="5"/>
        <v/>
      </c>
      <c r="L15" s="24"/>
      <c r="M15" s="24"/>
      <c r="N15" s="24" t="e">
        <f>VLOOKUP(12,Reg!$E$2:$M$202,9,0)</f>
        <v>#N/A</v>
      </c>
      <c r="O15" s="25" t="e">
        <f>VLOOKUP($B15,Reg!$M$3:$Q$202,5,0)</f>
        <v>#N/A</v>
      </c>
      <c r="P15" s="25" t="e">
        <f t="shared" si="6"/>
        <v>#VALUE!</v>
      </c>
      <c r="Q15" s="47">
        <f t="shared" si="7"/>
        <v>1000</v>
      </c>
      <c r="R15" s="54">
        <v>12</v>
      </c>
    </row>
    <row r="16" spans="1:18" ht="15" customHeight="1" x14ac:dyDescent="0.2">
      <c r="A16" s="26" t="str">
        <f t="shared" si="0"/>
        <v/>
      </c>
      <c r="B16" s="29" t="str">
        <f t="shared" si="1"/>
        <v/>
      </c>
      <c r="C16" s="43" t="str">
        <f>IF(ISNA($N16),"",VLOOKUP($B16,Reg!$M$3:$N$202,2,0))</f>
        <v/>
      </c>
      <c r="D16" s="31" t="str">
        <f>IF(ISNA($N16),"",VLOOKUP($B16,Reg!$M$3:$O$202,3,0))</f>
        <v/>
      </c>
      <c r="E16" s="35"/>
      <c r="F16" s="41"/>
      <c r="G16" s="36" t="str">
        <f t="shared" si="2"/>
        <v/>
      </c>
      <c r="H16" s="38" t="str">
        <f t="shared" si="3"/>
        <v/>
      </c>
      <c r="I16" s="29" t="str">
        <f>IF(ISNA($N16),"",VLOOKUP($B16,Reg!$M$3:$P$200,4,0))</f>
        <v/>
      </c>
      <c r="J16" s="46" t="str">
        <f t="shared" si="4"/>
        <v/>
      </c>
      <c r="K16" s="49" t="str">
        <f t="shared" si="5"/>
        <v/>
      </c>
      <c r="L16" s="24"/>
      <c r="M16" s="24"/>
      <c r="N16" s="24" t="e">
        <f>VLOOKUP(13,Reg!$E$2:$M$202,9,0)</f>
        <v>#N/A</v>
      </c>
      <c r="O16" s="25" t="e">
        <f>VLOOKUP($B16,Reg!$M$3:$Q$202,5,0)</f>
        <v>#N/A</v>
      </c>
      <c r="P16" s="25" t="e">
        <f t="shared" si="6"/>
        <v>#VALUE!</v>
      </c>
      <c r="Q16" s="47">
        <f t="shared" si="7"/>
        <v>1000</v>
      </c>
      <c r="R16" s="54">
        <v>13</v>
      </c>
    </row>
    <row r="17" spans="1:18" ht="15" customHeight="1" x14ac:dyDescent="0.2">
      <c r="A17" s="26" t="str">
        <f t="shared" si="0"/>
        <v/>
      </c>
      <c r="B17" s="29" t="str">
        <f t="shared" si="1"/>
        <v/>
      </c>
      <c r="C17" s="43" t="str">
        <f>IF(ISNA($N17),"",VLOOKUP($B17,Reg!$M$3:$N$202,2,0))</f>
        <v/>
      </c>
      <c r="D17" s="31" t="str">
        <f>IF(ISNA($N17),"",VLOOKUP($B17,Reg!$M$3:$O$202,3,0))</f>
        <v/>
      </c>
      <c r="E17" s="35"/>
      <c r="F17" s="41"/>
      <c r="G17" s="36" t="str">
        <f t="shared" si="2"/>
        <v/>
      </c>
      <c r="H17" s="38" t="str">
        <f t="shared" si="3"/>
        <v/>
      </c>
      <c r="I17" s="29" t="str">
        <f>IF(ISNA($N17),"",VLOOKUP($B17,Reg!$M$3:$P$200,4,0))</f>
        <v/>
      </c>
      <c r="J17" s="46" t="str">
        <f t="shared" si="4"/>
        <v/>
      </c>
      <c r="K17" s="49" t="str">
        <f t="shared" si="5"/>
        <v/>
      </c>
      <c r="L17" s="24"/>
      <c r="M17" s="24"/>
      <c r="N17" s="24" t="e">
        <f>VLOOKUP(14,Reg!$E$2:$M$202,9,0)</f>
        <v>#N/A</v>
      </c>
      <c r="O17" s="25" t="e">
        <f>VLOOKUP($B17,Reg!$M$3:$Q$202,5,0)</f>
        <v>#N/A</v>
      </c>
      <c r="P17" s="25" t="e">
        <f t="shared" si="6"/>
        <v>#VALUE!</v>
      </c>
      <c r="Q17" s="47">
        <f t="shared" si="7"/>
        <v>1000</v>
      </c>
      <c r="R17" s="54">
        <v>14</v>
      </c>
    </row>
    <row r="18" spans="1:18" ht="15" customHeight="1" x14ac:dyDescent="0.2">
      <c r="A18" s="26" t="str">
        <f t="shared" si="0"/>
        <v/>
      </c>
      <c r="B18" s="29" t="str">
        <f t="shared" si="1"/>
        <v/>
      </c>
      <c r="C18" s="43" t="str">
        <f>IF(ISNA($N18),"",VLOOKUP($B18,Reg!$M$3:$N$202,2,0))</f>
        <v/>
      </c>
      <c r="D18" s="31" t="str">
        <f>IF(ISNA($N18),"",VLOOKUP($B18,Reg!$M$3:$O$202,3,0))</f>
        <v/>
      </c>
      <c r="E18" s="35"/>
      <c r="F18" s="41"/>
      <c r="G18" s="36" t="str">
        <f t="shared" si="2"/>
        <v/>
      </c>
      <c r="H18" s="38" t="str">
        <f t="shared" si="3"/>
        <v/>
      </c>
      <c r="I18" s="29" t="str">
        <f>IF(ISNA($N18),"",VLOOKUP($B18,Reg!$M$3:$P$200,4,0))</f>
        <v/>
      </c>
      <c r="J18" s="46" t="str">
        <f t="shared" si="4"/>
        <v/>
      </c>
      <c r="K18" s="49" t="str">
        <f t="shared" si="5"/>
        <v/>
      </c>
      <c r="L18" s="27"/>
      <c r="M18" s="27"/>
      <c r="N18" s="24" t="e">
        <f>VLOOKUP(15,Reg!$E$2:$M$202,9,0)</f>
        <v>#N/A</v>
      </c>
      <c r="O18" s="25" t="e">
        <f>VLOOKUP($B18,Reg!$M$3:$Q$202,5,0)</f>
        <v>#N/A</v>
      </c>
      <c r="P18" s="25" t="e">
        <f t="shared" si="6"/>
        <v>#VALUE!</v>
      </c>
      <c r="Q18" s="47">
        <f t="shared" si="7"/>
        <v>1000</v>
      </c>
      <c r="R18" s="54">
        <v>15</v>
      </c>
    </row>
    <row r="19" spans="1:18" ht="15" customHeight="1" x14ac:dyDescent="0.2">
      <c r="A19" s="26" t="str">
        <f t="shared" si="0"/>
        <v/>
      </c>
      <c r="B19" s="29" t="str">
        <f t="shared" si="1"/>
        <v/>
      </c>
      <c r="C19" s="43" t="str">
        <f>IF(ISNA($N19),"",VLOOKUP($B19,Reg!$M$3:$N$202,2,0))</f>
        <v/>
      </c>
      <c r="D19" s="31" t="str">
        <f>IF(ISNA($N19),"",VLOOKUP($B19,Reg!$M$3:$O$202,3,0))</f>
        <v/>
      </c>
      <c r="E19" s="35"/>
      <c r="F19" s="41"/>
      <c r="G19" s="36" t="str">
        <f t="shared" si="2"/>
        <v/>
      </c>
      <c r="H19" s="38" t="str">
        <f t="shared" si="3"/>
        <v/>
      </c>
      <c r="I19" s="29" t="str">
        <f>IF(ISNA($N19),"",VLOOKUP($B19,Reg!$M$3:$P$200,4,0))</f>
        <v/>
      </c>
      <c r="J19" s="46" t="str">
        <f t="shared" si="4"/>
        <v/>
      </c>
      <c r="K19" s="49" t="str">
        <f t="shared" si="5"/>
        <v/>
      </c>
      <c r="L19" s="24"/>
      <c r="M19" s="24"/>
      <c r="N19" s="24" t="e">
        <f>VLOOKUP(16,Reg!$E$2:$M$202,9,0)</f>
        <v>#N/A</v>
      </c>
      <c r="O19" s="25" t="e">
        <f>VLOOKUP($B19,Reg!$M$3:$Q$202,5,0)</f>
        <v>#N/A</v>
      </c>
      <c r="P19" s="25" t="e">
        <f t="shared" si="6"/>
        <v>#VALUE!</v>
      </c>
      <c r="Q19" s="47">
        <f t="shared" si="7"/>
        <v>1000</v>
      </c>
      <c r="R19" s="54">
        <v>16</v>
      </c>
    </row>
    <row r="20" spans="1:18" ht="15" customHeight="1" x14ac:dyDescent="0.2">
      <c r="A20" s="26" t="str">
        <f t="shared" si="0"/>
        <v/>
      </c>
      <c r="B20" s="29" t="str">
        <f t="shared" si="1"/>
        <v/>
      </c>
      <c r="C20" s="43" t="str">
        <f>IF(ISNA($N20),"",VLOOKUP($B20,Reg!$M$3:$N$202,2,0))</f>
        <v/>
      </c>
      <c r="D20" s="31" t="str">
        <f>IF(ISNA($N20),"",VLOOKUP($B20,Reg!$M$3:$O$202,3,0))</f>
        <v/>
      </c>
      <c r="E20" s="35"/>
      <c r="F20" s="41"/>
      <c r="G20" s="36" t="str">
        <f t="shared" si="2"/>
        <v/>
      </c>
      <c r="H20" s="38" t="str">
        <f t="shared" si="3"/>
        <v/>
      </c>
      <c r="I20" s="29" t="str">
        <f>IF(ISNA($N20),"",VLOOKUP($B20,Reg!$M$3:$P$200,4,0))</f>
        <v/>
      </c>
      <c r="J20" s="46" t="str">
        <f t="shared" si="4"/>
        <v/>
      </c>
      <c r="K20" s="49" t="str">
        <f t="shared" si="5"/>
        <v/>
      </c>
      <c r="L20" s="24"/>
      <c r="M20" s="24"/>
      <c r="N20" s="24" t="e">
        <f>VLOOKUP(17,Reg!$E$2:$M$202,9,0)</f>
        <v>#N/A</v>
      </c>
      <c r="O20" s="25" t="e">
        <f>VLOOKUP($B20,Reg!$M$3:$Q$202,5,0)</f>
        <v>#N/A</v>
      </c>
      <c r="P20" s="25" t="e">
        <f t="shared" si="6"/>
        <v>#VALUE!</v>
      </c>
      <c r="Q20" s="47">
        <f t="shared" si="7"/>
        <v>1000</v>
      </c>
      <c r="R20" s="54">
        <v>17</v>
      </c>
    </row>
    <row r="21" spans="1:18" ht="15" customHeight="1" x14ac:dyDescent="0.2">
      <c r="A21" s="26" t="str">
        <f t="shared" si="0"/>
        <v/>
      </c>
      <c r="B21" s="29" t="str">
        <f t="shared" si="1"/>
        <v/>
      </c>
      <c r="C21" s="43" t="str">
        <f>IF(ISNA($N21),"",VLOOKUP($B21,Reg!$M$3:$N$202,2,0))</f>
        <v/>
      </c>
      <c r="D21" s="31" t="str">
        <f>IF(ISNA($N21),"",VLOOKUP($B21,Reg!$M$3:$O$202,3,0))</f>
        <v/>
      </c>
      <c r="E21" s="35"/>
      <c r="F21" s="41"/>
      <c r="G21" s="36" t="str">
        <f t="shared" si="2"/>
        <v/>
      </c>
      <c r="H21" s="38" t="str">
        <f t="shared" si="3"/>
        <v/>
      </c>
      <c r="I21" s="29" t="str">
        <f>IF(ISNA($N21),"",VLOOKUP($B21,Reg!$M$3:$P$200,4,0))</f>
        <v/>
      </c>
      <c r="J21" s="46" t="str">
        <f t="shared" si="4"/>
        <v/>
      </c>
      <c r="K21" s="49" t="str">
        <f t="shared" si="5"/>
        <v/>
      </c>
      <c r="L21" s="27"/>
      <c r="M21" s="27"/>
      <c r="N21" s="24" t="e">
        <f>VLOOKUP(18,Reg!$E$2:$M$202,9,0)</f>
        <v>#N/A</v>
      </c>
      <c r="O21" s="25" t="e">
        <f>VLOOKUP($B21,Reg!$M$3:$Q$202,5,0)</f>
        <v>#N/A</v>
      </c>
      <c r="P21" s="25" t="e">
        <f t="shared" si="6"/>
        <v>#VALUE!</v>
      </c>
      <c r="Q21" s="47">
        <f t="shared" si="7"/>
        <v>1000</v>
      </c>
      <c r="R21" s="54">
        <v>18</v>
      </c>
    </row>
    <row r="22" spans="1:18" ht="15" customHeight="1" x14ac:dyDescent="0.2">
      <c r="A22" s="26" t="str">
        <f t="shared" si="0"/>
        <v/>
      </c>
      <c r="B22" s="29" t="str">
        <f t="shared" si="1"/>
        <v/>
      </c>
      <c r="C22" s="43" t="str">
        <f>IF(ISNA($N22),"",VLOOKUP($B22,Reg!$M$3:$N$202,2,0))</f>
        <v/>
      </c>
      <c r="D22" s="31" t="str">
        <f>IF(ISNA($N22),"",VLOOKUP($B22,Reg!$M$3:$O$202,3,0))</f>
        <v/>
      </c>
      <c r="E22" s="35"/>
      <c r="F22" s="41"/>
      <c r="G22" s="52" t="str">
        <f t="shared" si="2"/>
        <v/>
      </c>
      <c r="H22" s="38" t="str">
        <f t="shared" si="3"/>
        <v/>
      </c>
      <c r="I22" s="29" t="str">
        <f>IF(ISNA($N22),"",VLOOKUP($B22,Reg!$M$3:$P$200,4,0))</f>
        <v/>
      </c>
      <c r="J22" s="46" t="str">
        <f t="shared" si="4"/>
        <v/>
      </c>
      <c r="K22" s="49" t="str">
        <f t="shared" si="5"/>
        <v/>
      </c>
      <c r="L22" s="24"/>
      <c r="M22" s="24"/>
      <c r="N22" s="24" t="e">
        <f>VLOOKUP(19,Reg!$E$2:$M$202,9,0)</f>
        <v>#N/A</v>
      </c>
      <c r="O22" s="25" t="e">
        <f>VLOOKUP($B22,Reg!$M$3:$Q$202,5,0)</f>
        <v>#N/A</v>
      </c>
      <c r="P22" s="25" t="e">
        <f t="shared" si="6"/>
        <v>#VALUE!</v>
      </c>
      <c r="Q22" s="47">
        <f t="shared" si="7"/>
        <v>1000</v>
      </c>
      <c r="R22" s="54">
        <v>19</v>
      </c>
    </row>
    <row r="23" spans="1:18" ht="15" customHeight="1" x14ac:dyDescent="0.2">
      <c r="A23" s="26" t="str">
        <f t="shared" si="0"/>
        <v/>
      </c>
      <c r="B23" s="29" t="str">
        <f t="shared" si="1"/>
        <v/>
      </c>
      <c r="C23" s="43" t="str">
        <f>IF(ISNA($N23),"",VLOOKUP($B23,Reg!$M$3:$N$202,2,0))</f>
        <v/>
      </c>
      <c r="D23" s="31" t="str">
        <f>IF(ISNA($N23),"",VLOOKUP($B23,Reg!$M$3:$O$202,3,0))</f>
        <v/>
      </c>
      <c r="E23" s="35"/>
      <c r="F23" s="41"/>
      <c r="G23" s="36" t="str">
        <f t="shared" si="2"/>
        <v/>
      </c>
      <c r="H23" s="38" t="str">
        <f t="shared" si="3"/>
        <v/>
      </c>
      <c r="I23" s="29" t="str">
        <f>IF(ISNA($N23),"",VLOOKUP($B23,Reg!$M$3:$P$200,4,0))</f>
        <v/>
      </c>
      <c r="J23" s="46" t="str">
        <f t="shared" si="4"/>
        <v/>
      </c>
      <c r="K23" s="49" t="str">
        <f t="shared" si="5"/>
        <v/>
      </c>
      <c r="L23" s="27"/>
      <c r="M23" s="27"/>
      <c r="N23" s="24" t="e">
        <f>VLOOKUP(20,Reg!$E$2:$M$202,9,0)</f>
        <v>#N/A</v>
      </c>
      <c r="O23" s="25" t="e">
        <f>VLOOKUP($B23,Reg!$M$3:$Q$202,5,0)</f>
        <v>#N/A</v>
      </c>
      <c r="P23" s="25" t="e">
        <f t="shared" si="6"/>
        <v>#VALUE!</v>
      </c>
      <c r="Q23" s="47">
        <f t="shared" si="7"/>
        <v>1000</v>
      </c>
      <c r="R23" s="54">
        <v>20</v>
      </c>
    </row>
    <row r="24" spans="1:18" ht="15" customHeight="1" x14ac:dyDescent="0.2">
      <c r="A24" s="26" t="str">
        <f t="shared" si="0"/>
        <v/>
      </c>
      <c r="B24" s="29" t="str">
        <f t="shared" si="1"/>
        <v/>
      </c>
      <c r="C24" s="43" t="str">
        <f>IF(ISNA($N24),"",VLOOKUP($B24,Reg!$M$3:$N$202,2,0))</f>
        <v/>
      </c>
      <c r="D24" s="31" t="str">
        <f>IF(ISNA($N24),"",VLOOKUP($B24,Reg!$M$3:$O$202,3,0))</f>
        <v/>
      </c>
      <c r="E24" s="35"/>
      <c r="F24" s="41"/>
      <c r="G24" s="36" t="str">
        <f t="shared" si="2"/>
        <v/>
      </c>
      <c r="H24" s="38" t="str">
        <f t="shared" si="3"/>
        <v/>
      </c>
      <c r="I24" s="29" t="str">
        <f>IF(ISNA($N24),"",VLOOKUP($B24,Reg!$M$3:$P$200,4,0))</f>
        <v/>
      </c>
      <c r="J24" s="46" t="str">
        <f t="shared" si="4"/>
        <v/>
      </c>
      <c r="K24" s="49" t="str">
        <f t="shared" si="5"/>
        <v/>
      </c>
      <c r="L24" s="27"/>
      <c r="M24" s="27"/>
      <c r="N24" s="24" t="e">
        <f>VLOOKUP(21,Reg!$E$2:$M$202,9,0)</f>
        <v>#N/A</v>
      </c>
      <c r="O24" s="25" t="e">
        <f>VLOOKUP($B24,Reg!$M$3:$Q$202,5,0)</f>
        <v>#N/A</v>
      </c>
      <c r="P24" s="25" t="e">
        <f t="shared" si="6"/>
        <v>#VALUE!</v>
      </c>
      <c r="Q24" s="47">
        <f t="shared" si="7"/>
        <v>1000</v>
      </c>
      <c r="R24" s="54">
        <v>21</v>
      </c>
    </row>
    <row r="25" spans="1:18" ht="15" customHeight="1" x14ac:dyDescent="0.2">
      <c r="A25" s="26" t="str">
        <f t="shared" si="0"/>
        <v/>
      </c>
      <c r="B25" s="29" t="str">
        <f t="shared" si="1"/>
        <v/>
      </c>
      <c r="C25" s="43" t="str">
        <f>IF(ISNA($N25),"",VLOOKUP($B25,Reg!$M$3:$N$202,2,0))</f>
        <v/>
      </c>
      <c r="D25" s="31" t="str">
        <f>IF(ISNA($N25),"",VLOOKUP($B25,Reg!$M$3:$O$202,3,0))</f>
        <v/>
      </c>
      <c r="E25" s="35"/>
      <c r="F25" s="41"/>
      <c r="G25" s="36" t="str">
        <f t="shared" si="2"/>
        <v/>
      </c>
      <c r="H25" s="38" t="str">
        <f t="shared" si="3"/>
        <v/>
      </c>
      <c r="I25" s="29" t="str">
        <f>IF(ISNA($N25),"",VLOOKUP($B25,Reg!$M$3:$P$200,4,0))</f>
        <v/>
      </c>
      <c r="J25" s="46" t="str">
        <f t="shared" si="4"/>
        <v/>
      </c>
      <c r="K25" s="49" t="str">
        <f t="shared" si="5"/>
        <v/>
      </c>
      <c r="L25" s="27"/>
      <c r="M25" s="27"/>
      <c r="N25" s="24" t="e">
        <f>VLOOKUP(22,Reg!$E$2:$M$202,9,0)</f>
        <v>#N/A</v>
      </c>
      <c r="O25" s="25" t="e">
        <f>VLOOKUP($B25,Reg!$M$3:$Q$202,5,0)</f>
        <v>#N/A</v>
      </c>
      <c r="P25" s="25" t="e">
        <f t="shared" si="6"/>
        <v>#VALUE!</v>
      </c>
      <c r="Q25" s="47">
        <f t="shared" si="7"/>
        <v>1000</v>
      </c>
      <c r="R25" s="54">
        <v>22</v>
      </c>
    </row>
    <row r="26" spans="1:18" ht="15" customHeight="1" x14ac:dyDescent="0.2">
      <c r="A26" s="26" t="str">
        <f t="shared" si="0"/>
        <v/>
      </c>
      <c r="B26" s="29" t="str">
        <f t="shared" si="1"/>
        <v/>
      </c>
      <c r="C26" s="43" t="str">
        <f>IF(ISNA($N26),"",VLOOKUP($B26,Reg!$M$3:$N$202,2,0))</f>
        <v/>
      </c>
      <c r="D26" s="31" t="str">
        <f>IF(ISNA($N26),"",VLOOKUP($B26,Reg!$M$3:$O$202,3,0))</f>
        <v/>
      </c>
      <c r="E26" s="35"/>
      <c r="F26" s="41"/>
      <c r="G26" s="36" t="str">
        <f t="shared" si="2"/>
        <v/>
      </c>
      <c r="H26" s="38" t="str">
        <f t="shared" si="3"/>
        <v/>
      </c>
      <c r="I26" s="29" t="str">
        <f>IF(ISNA($N26),"",VLOOKUP($B26,Reg!$M$3:$P$200,4,0))</f>
        <v/>
      </c>
      <c r="J26" s="46" t="str">
        <f t="shared" si="4"/>
        <v/>
      </c>
      <c r="K26" s="49" t="str">
        <f t="shared" si="5"/>
        <v/>
      </c>
      <c r="L26" s="27"/>
      <c r="M26" s="27"/>
      <c r="N26" s="24" t="e">
        <f>VLOOKUP(23,Reg!$E$2:$M$202,9,0)</f>
        <v>#N/A</v>
      </c>
      <c r="O26" s="25" t="e">
        <f>VLOOKUP($B26,Reg!$M$3:$Q$202,5,0)</f>
        <v>#N/A</v>
      </c>
      <c r="P26" s="25" t="e">
        <f t="shared" si="6"/>
        <v>#VALUE!</v>
      </c>
      <c r="Q26" s="47">
        <f t="shared" si="7"/>
        <v>1000</v>
      </c>
      <c r="R26" s="54">
        <v>23</v>
      </c>
    </row>
    <row r="27" spans="1:18" ht="15" customHeight="1" x14ac:dyDescent="0.2">
      <c r="A27" s="26" t="str">
        <f t="shared" si="0"/>
        <v/>
      </c>
      <c r="B27" s="29" t="str">
        <f t="shared" si="1"/>
        <v/>
      </c>
      <c r="C27" s="43" t="str">
        <f>IF(ISNA($N27),"",VLOOKUP($B27,Reg!$M$3:$N$202,2,0))</f>
        <v/>
      </c>
      <c r="D27" s="31" t="str">
        <f>IF(ISNA($N27),"",VLOOKUP($B27,Reg!$M$3:$O$202,3,0))</f>
        <v/>
      </c>
      <c r="E27" s="35"/>
      <c r="F27" s="41"/>
      <c r="G27" s="36" t="str">
        <f t="shared" si="2"/>
        <v/>
      </c>
      <c r="H27" s="38" t="str">
        <f t="shared" si="3"/>
        <v/>
      </c>
      <c r="I27" s="29" t="str">
        <f>IF(ISNA($N27),"",VLOOKUP($B27,Reg!$M$3:$P$200,4,0))</f>
        <v/>
      </c>
      <c r="J27" s="46" t="str">
        <f t="shared" si="4"/>
        <v/>
      </c>
      <c r="K27" s="49" t="str">
        <f t="shared" si="5"/>
        <v/>
      </c>
      <c r="L27" s="27"/>
      <c r="M27" s="27"/>
      <c r="N27" s="24" t="e">
        <f>VLOOKUP(24,Reg!$E$2:$M$202,9,0)</f>
        <v>#N/A</v>
      </c>
      <c r="O27" s="25" t="e">
        <f>VLOOKUP($B27,Reg!$M$3:$Q$202,5,0)</f>
        <v>#N/A</v>
      </c>
      <c r="P27" s="25" t="e">
        <f t="shared" si="6"/>
        <v>#VALUE!</v>
      </c>
      <c r="Q27" s="47">
        <f t="shared" si="7"/>
        <v>1000</v>
      </c>
      <c r="R27" s="54">
        <v>24</v>
      </c>
    </row>
    <row r="28" spans="1:18" ht="15" customHeight="1" x14ac:dyDescent="0.2">
      <c r="A28" s="26" t="str">
        <f t="shared" si="0"/>
        <v/>
      </c>
      <c r="B28" s="29" t="str">
        <f t="shared" si="1"/>
        <v/>
      </c>
      <c r="C28" s="43" t="str">
        <f>IF(ISNA($N28),"",VLOOKUP($B28,Reg!$M$3:$N$202,2,0))</f>
        <v/>
      </c>
      <c r="D28" s="31" t="str">
        <f>IF(ISNA($N28),"",VLOOKUP($B28,Reg!$M$3:$O$202,3,0))</f>
        <v/>
      </c>
      <c r="E28" s="35"/>
      <c r="F28" s="41"/>
      <c r="G28" s="36" t="str">
        <f t="shared" si="2"/>
        <v/>
      </c>
      <c r="H28" s="38" t="str">
        <f t="shared" si="3"/>
        <v/>
      </c>
      <c r="I28" s="29" t="str">
        <f>IF(ISNA($N28),"",VLOOKUP($B28,Reg!$M$3:$P$200,4,0))</f>
        <v/>
      </c>
      <c r="J28" s="46" t="str">
        <f t="shared" si="4"/>
        <v/>
      </c>
      <c r="K28" s="49" t="str">
        <f t="shared" si="5"/>
        <v/>
      </c>
      <c r="L28" s="27"/>
      <c r="M28" s="27"/>
      <c r="N28" s="24" t="e">
        <f>VLOOKUP(25,Reg!$E$2:$M$202,9,0)</f>
        <v>#N/A</v>
      </c>
      <c r="O28" s="25" t="e">
        <f>VLOOKUP($B28,Reg!$M$3:$Q$202,5,0)</f>
        <v>#N/A</v>
      </c>
      <c r="P28" s="25" t="e">
        <f t="shared" si="6"/>
        <v>#VALUE!</v>
      </c>
      <c r="Q28" s="47">
        <f t="shared" si="7"/>
        <v>1000</v>
      </c>
      <c r="R28" s="54">
        <v>25</v>
      </c>
    </row>
    <row r="29" spans="1:18" ht="15" customHeight="1" x14ac:dyDescent="0.2">
      <c r="A29" s="26" t="str">
        <f t="shared" si="0"/>
        <v/>
      </c>
      <c r="B29" s="29" t="str">
        <f t="shared" si="1"/>
        <v/>
      </c>
      <c r="C29" s="43" t="str">
        <f>IF(ISNA($N29),"",VLOOKUP($B29,Reg!$M$3:$N$202,2,0))</f>
        <v/>
      </c>
      <c r="D29" s="31" t="str">
        <f>IF(ISNA($N29),"",VLOOKUP($B29,Reg!$M$3:$O$202,3,0))</f>
        <v/>
      </c>
      <c r="E29" s="35"/>
      <c r="F29" s="41"/>
      <c r="G29" s="36" t="str">
        <f t="shared" si="2"/>
        <v/>
      </c>
      <c r="H29" s="38" t="str">
        <f t="shared" si="3"/>
        <v/>
      </c>
      <c r="I29" s="29" t="str">
        <f>IF(ISNA($N29),"",VLOOKUP($B29,Reg!$M$3:$P$200,4,0))</f>
        <v/>
      </c>
      <c r="J29" s="46" t="str">
        <f t="shared" si="4"/>
        <v/>
      </c>
      <c r="K29" s="49" t="str">
        <f t="shared" si="5"/>
        <v/>
      </c>
      <c r="L29" s="27"/>
      <c r="M29" s="27"/>
      <c r="N29" s="24" t="e">
        <f>VLOOKUP(26,Reg!$E$2:$M$202,9,0)</f>
        <v>#N/A</v>
      </c>
      <c r="O29" s="25" t="e">
        <f>VLOOKUP($B29,Reg!$M$3:$Q$202,5,0)</f>
        <v>#N/A</v>
      </c>
      <c r="P29" s="25" t="e">
        <f t="shared" si="6"/>
        <v>#VALUE!</v>
      </c>
      <c r="Q29" s="47">
        <f t="shared" si="7"/>
        <v>1000</v>
      </c>
      <c r="R29" s="54">
        <v>26</v>
      </c>
    </row>
    <row r="30" spans="1:18" ht="15" customHeight="1" x14ac:dyDescent="0.2">
      <c r="A30" s="26" t="str">
        <f t="shared" si="0"/>
        <v/>
      </c>
      <c r="B30" s="29" t="str">
        <f t="shared" si="1"/>
        <v/>
      </c>
      <c r="C30" s="43" t="str">
        <f>IF(ISNA($N30),"",VLOOKUP($B30,Reg!$M$3:$N$202,2,0))</f>
        <v/>
      </c>
      <c r="D30" s="31" t="str">
        <f>IF(ISNA($N30),"",VLOOKUP($B30,Reg!$M$3:$O$202,3,0))</f>
        <v/>
      </c>
      <c r="E30" s="35"/>
      <c r="F30" s="41"/>
      <c r="G30" s="36" t="str">
        <f t="shared" si="2"/>
        <v/>
      </c>
      <c r="H30" s="38" t="str">
        <f t="shared" si="3"/>
        <v/>
      </c>
      <c r="I30" s="29" t="str">
        <f>IF(ISNA($N30),"",VLOOKUP($B30,Reg!$M$3:$P$200,4,0))</f>
        <v/>
      </c>
      <c r="J30" s="46" t="str">
        <f t="shared" si="4"/>
        <v/>
      </c>
      <c r="K30" s="49" t="str">
        <f t="shared" si="5"/>
        <v/>
      </c>
      <c r="L30" s="27"/>
      <c r="M30" s="27"/>
      <c r="N30" s="24" t="e">
        <f>VLOOKUP(27,Reg!$E$2:$M$202,9,0)</f>
        <v>#N/A</v>
      </c>
      <c r="O30" s="25" t="e">
        <f>VLOOKUP($B30,Reg!$M$3:$Q$202,5,0)</f>
        <v>#N/A</v>
      </c>
      <c r="P30" s="25" t="e">
        <f t="shared" si="6"/>
        <v>#VALUE!</v>
      </c>
      <c r="Q30" s="47">
        <f t="shared" si="7"/>
        <v>1000</v>
      </c>
      <c r="R30" s="54">
        <v>27</v>
      </c>
    </row>
    <row r="31" spans="1:18" ht="15" customHeight="1" x14ac:dyDescent="0.2">
      <c r="A31" s="26" t="str">
        <f t="shared" si="0"/>
        <v/>
      </c>
      <c r="B31" s="29" t="str">
        <f t="shared" si="1"/>
        <v/>
      </c>
      <c r="C31" s="43" t="str">
        <f>IF(ISNA($N31),"",VLOOKUP($B31,Reg!$M$3:$N$202,2,0))</f>
        <v/>
      </c>
      <c r="D31" s="31" t="str">
        <f>IF(ISNA($N31),"",VLOOKUP($B31,Reg!$M$3:$O$202,3,0))</f>
        <v/>
      </c>
      <c r="E31" s="35"/>
      <c r="F31" s="41"/>
      <c r="G31" s="36" t="str">
        <f t="shared" si="2"/>
        <v/>
      </c>
      <c r="H31" s="38" t="str">
        <f t="shared" si="3"/>
        <v/>
      </c>
      <c r="I31" s="29" t="str">
        <f>IF(ISNA($N31),"",VLOOKUP($B31,Reg!$M$3:$P$200,4,0))</f>
        <v/>
      </c>
      <c r="J31" s="46" t="str">
        <f t="shared" si="4"/>
        <v/>
      </c>
      <c r="K31" s="49" t="str">
        <f t="shared" si="5"/>
        <v/>
      </c>
      <c r="L31" s="27"/>
      <c r="M31" s="27"/>
      <c r="N31" s="24" t="e">
        <f>VLOOKUP(28,Reg!$E$2:$M$202,9,0)</f>
        <v>#N/A</v>
      </c>
      <c r="O31" s="25" t="e">
        <f>VLOOKUP($B31,Reg!$M$3:$Q$202,5,0)</f>
        <v>#N/A</v>
      </c>
      <c r="P31" s="25" t="e">
        <f t="shared" si="6"/>
        <v>#VALUE!</v>
      </c>
      <c r="Q31" s="47">
        <f t="shared" si="7"/>
        <v>1000</v>
      </c>
      <c r="R31" s="54">
        <v>28</v>
      </c>
    </row>
    <row r="32" spans="1:18" ht="15" customHeight="1" x14ac:dyDescent="0.2">
      <c r="A32" s="26" t="str">
        <f t="shared" si="0"/>
        <v/>
      </c>
      <c r="B32" s="29" t="str">
        <f t="shared" si="1"/>
        <v/>
      </c>
      <c r="C32" s="43" t="str">
        <f>IF(ISNA($N32),"",VLOOKUP($B32,Reg!$M$3:$N$202,2,0))</f>
        <v/>
      </c>
      <c r="D32" s="31" t="str">
        <f>IF(ISNA($N32),"",VLOOKUP($B32,Reg!$M$3:$O$202,3,0))</f>
        <v/>
      </c>
      <c r="E32" s="35"/>
      <c r="F32" s="41"/>
      <c r="G32" s="36" t="str">
        <f t="shared" si="2"/>
        <v/>
      </c>
      <c r="H32" s="38" t="str">
        <f t="shared" si="3"/>
        <v/>
      </c>
      <c r="I32" s="29" t="str">
        <f>IF(ISNA($N32),"",VLOOKUP($B32,Reg!$M$3:$P$200,4,0))</f>
        <v/>
      </c>
      <c r="J32" s="46" t="str">
        <f t="shared" si="4"/>
        <v/>
      </c>
      <c r="K32" s="49" t="str">
        <f t="shared" si="5"/>
        <v/>
      </c>
      <c r="L32" s="27"/>
      <c r="M32" s="27"/>
      <c r="N32" s="24" t="e">
        <f>VLOOKUP(29,Reg!$E$2:$M$202,9,0)</f>
        <v>#N/A</v>
      </c>
      <c r="O32" s="25" t="e">
        <f>VLOOKUP($B32,Reg!$M$3:$Q$202,5,0)</f>
        <v>#N/A</v>
      </c>
      <c r="P32" s="25" t="e">
        <f t="shared" si="6"/>
        <v>#VALUE!</v>
      </c>
      <c r="Q32" s="47">
        <f t="shared" si="7"/>
        <v>1000</v>
      </c>
      <c r="R32" s="54">
        <v>29</v>
      </c>
    </row>
    <row r="33" spans="1:18" ht="15" customHeight="1" x14ac:dyDescent="0.2">
      <c r="A33" s="26" t="str">
        <f t="shared" si="0"/>
        <v/>
      </c>
      <c r="B33" s="29" t="str">
        <f t="shared" si="1"/>
        <v/>
      </c>
      <c r="C33" s="43" t="str">
        <f>IF(ISNA($N33),"",VLOOKUP($B33,Reg!$M$3:$N$202,2,0))</f>
        <v/>
      </c>
      <c r="D33" s="31" t="str">
        <f>IF(ISNA($N33),"",VLOOKUP($B33,Reg!$M$3:$O$202,3,0))</f>
        <v/>
      </c>
      <c r="E33" s="35"/>
      <c r="F33" s="41"/>
      <c r="G33" s="36" t="str">
        <f t="shared" si="2"/>
        <v/>
      </c>
      <c r="H33" s="38" t="str">
        <f t="shared" si="3"/>
        <v/>
      </c>
      <c r="I33" s="29" t="str">
        <f>IF(ISNA($N33),"",VLOOKUP($B33,Reg!$M$3:$P$200,4,0))</f>
        <v/>
      </c>
      <c r="J33" s="46" t="str">
        <f t="shared" si="4"/>
        <v/>
      </c>
      <c r="K33" s="49" t="str">
        <f t="shared" si="5"/>
        <v/>
      </c>
      <c r="L33" s="27"/>
      <c r="M33" s="27"/>
      <c r="N33" s="24" t="e">
        <f>VLOOKUP(30,Reg!$E$2:$M$202,9,0)</f>
        <v>#N/A</v>
      </c>
      <c r="O33" s="25" t="e">
        <f>VLOOKUP($B33,Reg!$M$3:$Q$202,5,0)</f>
        <v>#N/A</v>
      </c>
      <c r="P33" s="25" t="e">
        <f t="shared" si="6"/>
        <v>#VALUE!</v>
      </c>
      <c r="Q33" s="47">
        <f t="shared" si="7"/>
        <v>1000</v>
      </c>
      <c r="R33" s="54">
        <v>30</v>
      </c>
    </row>
    <row r="34" spans="1:18" ht="15" customHeight="1" x14ac:dyDescent="0.2">
      <c r="A34" s="26" t="str">
        <f t="shared" si="0"/>
        <v/>
      </c>
      <c r="B34" s="29" t="str">
        <f t="shared" si="1"/>
        <v/>
      </c>
      <c r="C34" s="43" t="str">
        <f>IF(ISNA($N34),"",VLOOKUP($B34,Reg!$M$3:$N$202,2,0))</f>
        <v/>
      </c>
      <c r="D34" s="31" t="str">
        <f>IF(ISNA($N34),"",VLOOKUP($B34,Reg!$M$3:$O$202,3,0))</f>
        <v/>
      </c>
      <c r="E34" s="35"/>
      <c r="F34" s="41"/>
      <c r="G34" s="36" t="str">
        <f t="shared" si="2"/>
        <v/>
      </c>
      <c r="H34" s="38" t="str">
        <f t="shared" si="3"/>
        <v/>
      </c>
      <c r="I34" s="29" t="str">
        <f>IF(ISNA($N34),"",VLOOKUP($B34,Reg!$M$3:$P$200,4,0))</f>
        <v/>
      </c>
      <c r="J34" s="46" t="str">
        <f t="shared" si="4"/>
        <v/>
      </c>
      <c r="K34" s="49" t="str">
        <f t="shared" si="5"/>
        <v/>
      </c>
      <c r="L34" s="27"/>
      <c r="M34" s="27"/>
      <c r="N34" s="24" t="e">
        <f>VLOOKUP(31,Reg!$E$2:$M$202,9,0)</f>
        <v>#N/A</v>
      </c>
      <c r="O34" s="25" t="e">
        <f>VLOOKUP($B34,Reg!$M$3:$Q$202,5,0)</f>
        <v>#N/A</v>
      </c>
      <c r="P34" s="25" t="e">
        <f t="shared" si="6"/>
        <v>#VALUE!</v>
      </c>
      <c r="Q34" s="47">
        <f t="shared" si="7"/>
        <v>1000</v>
      </c>
      <c r="R34" s="54">
        <v>31</v>
      </c>
    </row>
    <row r="35" spans="1:18" ht="15" customHeight="1" x14ac:dyDescent="0.2">
      <c r="A35" s="26" t="str">
        <f t="shared" si="0"/>
        <v/>
      </c>
      <c r="B35" s="29" t="str">
        <f t="shared" si="1"/>
        <v/>
      </c>
      <c r="C35" s="43" t="str">
        <f>IF(ISNA($N35),"",VLOOKUP($B35,Reg!$M$3:$N$202,2,0))</f>
        <v/>
      </c>
      <c r="D35" s="31" t="str">
        <f>IF(ISNA($N35),"",VLOOKUP($B35,Reg!$M$3:$O$202,3,0))</f>
        <v/>
      </c>
      <c r="E35" s="35"/>
      <c r="F35" s="41"/>
      <c r="G35" s="36" t="str">
        <f t="shared" si="2"/>
        <v/>
      </c>
      <c r="H35" s="38" t="str">
        <f t="shared" si="3"/>
        <v/>
      </c>
      <c r="I35" s="29" t="str">
        <f>IF(ISNA($N35),"",VLOOKUP($B35,Reg!$M$3:$P$200,4,0))</f>
        <v/>
      </c>
      <c r="J35" s="46" t="str">
        <f t="shared" si="4"/>
        <v/>
      </c>
      <c r="K35" s="49" t="str">
        <f t="shared" si="5"/>
        <v/>
      </c>
      <c r="L35" s="27"/>
      <c r="M35" s="27"/>
      <c r="N35" s="24" t="e">
        <f>VLOOKUP(32,Reg!$E$2:$M$202,9,0)</f>
        <v>#N/A</v>
      </c>
      <c r="O35" s="25" t="e">
        <f>VLOOKUP($B35,Reg!$M$3:$Q$202,5,0)</f>
        <v>#N/A</v>
      </c>
      <c r="P35" s="25" t="e">
        <f t="shared" si="6"/>
        <v>#VALUE!</v>
      </c>
      <c r="Q35" s="47">
        <f t="shared" si="7"/>
        <v>1000</v>
      </c>
      <c r="R35" s="54">
        <v>32</v>
      </c>
    </row>
    <row r="36" spans="1:18" ht="15" customHeight="1" x14ac:dyDescent="0.2">
      <c r="A36" s="26" t="str">
        <f t="shared" si="0"/>
        <v/>
      </c>
      <c r="B36" s="29" t="str">
        <f t="shared" si="1"/>
        <v/>
      </c>
      <c r="C36" s="43" t="str">
        <f>IF(ISNA($N36),"",VLOOKUP($B36,Reg!$M$3:$N$202,2,0))</f>
        <v/>
      </c>
      <c r="D36" s="31" t="str">
        <f>IF(ISNA($N36),"",VLOOKUP($B36,Reg!$M$3:$O$202,3,0))</f>
        <v/>
      </c>
      <c r="E36" s="35"/>
      <c r="F36" s="41"/>
      <c r="G36" s="36" t="str">
        <f t="shared" si="2"/>
        <v/>
      </c>
      <c r="H36" s="38" t="str">
        <f t="shared" si="3"/>
        <v/>
      </c>
      <c r="I36" s="29" t="str">
        <f>IF(ISNA($N36),"",VLOOKUP($B36,Reg!$M$3:$P$200,4,0))</f>
        <v/>
      </c>
      <c r="J36" s="46" t="str">
        <f t="shared" si="4"/>
        <v/>
      </c>
      <c r="K36" s="49" t="str">
        <f t="shared" si="5"/>
        <v/>
      </c>
      <c r="L36" s="27"/>
      <c r="M36" s="27"/>
      <c r="N36" s="24" t="e">
        <f>VLOOKUP(33,Reg!$E$2:$M$202,9,0)</f>
        <v>#N/A</v>
      </c>
      <c r="O36" s="25" t="e">
        <f>VLOOKUP($B36,Reg!$M$3:$Q$202,5,0)</f>
        <v>#N/A</v>
      </c>
      <c r="P36" s="25" t="e">
        <f t="shared" si="6"/>
        <v>#VALUE!</v>
      </c>
      <c r="Q36" s="47">
        <f t="shared" si="7"/>
        <v>1000</v>
      </c>
      <c r="R36" s="54">
        <v>33</v>
      </c>
    </row>
    <row r="37" spans="1:18" ht="15" customHeight="1" x14ac:dyDescent="0.2">
      <c r="A37" s="26" t="str">
        <f t="shared" si="0"/>
        <v/>
      </c>
      <c r="B37" s="29" t="str">
        <f t="shared" si="1"/>
        <v/>
      </c>
      <c r="C37" s="43" t="str">
        <f>IF(ISNA($N37),"",VLOOKUP($B37,Reg!$M$3:$N$202,2,0))</f>
        <v/>
      </c>
      <c r="D37" s="31" t="str">
        <f>IF(ISNA($N37),"",VLOOKUP($B37,Reg!$M$3:$O$202,3,0))</f>
        <v/>
      </c>
      <c r="E37" s="35"/>
      <c r="F37" s="41"/>
      <c r="G37" s="36" t="str">
        <f t="shared" si="2"/>
        <v/>
      </c>
      <c r="H37" s="38" t="str">
        <f t="shared" si="3"/>
        <v/>
      </c>
      <c r="I37" s="29" t="str">
        <f>IF(ISNA($N37),"",VLOOKUP($B37,Reg!$M$3:$P$200,4,0))</f>
        <v/>
      </c>
      <c r="J37" s="46" t="str">
        <f t="shared" si="4"/>
        <v/>
      </c>
      <c r="K37" s="49" t="str">
        <f t="shared" si="5"/>
        <v/>
      </c>
      <c r="L37" s="27"/>
      <c r="M37" s="27"/>
      <c r="N37" s="24" t="e">
        <f>VLOOKUP(34,Reg!$E$2:$M$202,9,0)</f>
        <v>#N/A</v>
      </c>
      <c r="O37" s="25" t="e">
        <f>VLOOKUP($B37,Reg!$M$3:$Q$202,5,0)</f>
        <v>#N/A</v>
      </c>
      <c r="P37" s="25" t="e">
        <f t="shared" si="6"/>
        <v>#VALUE!</v>
      </c>
      <c r="Q37" s="47">
        <f t="shared" si="7"/>
        <v>1000</v>
      </c>
      <c r="R37" s="54">
        <v>34</v>
      </c>
    </row>
    <row r="38" spans="1:18" ht="15" customHeight="1" x14ac:dyDescent="0.2">
      <c r="A38" s="26" t="str">
        <f t="shared" si="0"/>
        <v/>
      </c>
      <c r="B38" s="29" t="str">
        <f t="shared" si="1"/>
        <v/>
      </c>
      <c r="C38" s="43" t="str">
        <f>IF(ISNA($N38),"",VLOOKUP($B38,Reg!$M$3:$N$202,2,0))</f>
        <v/>
      </c>
      <c r="D38" s="31" t="str">
        <f>IF(ISNA($N38),"",VLOOKUP($B38,Reg!$M$3:$O$202,3,0))</f>
        <v/>
      </c>
      <c r="E38" s="35"/>
      <c r="F38" s="41"/>
      <c r="G38" s="36" t="str">
        <f t="shared" si="2"/>
        <v/>
      </c>
      <c r="H38" s="38" t="str">
        <f t="shared" si="3"/>
        <v/>
      </c>
      <c r="I38" s="29" t="str">
        <f>IF(ISNA($N38),"",VLOOKUP($B38,Reg!$M$3:$P$200,4,0))</f>
        <v/>
      </c>
      <c r="J38" s="46" t="str">
        <f t="shared" si="4"/>
        <v/>
      </c>
      <c r="K38" s="49" t="str">
        <f t="shared" si="5"/>
        <v/>
      </c>
      <c r="L38" s="27"/>
      <c r="M38" s="27"/>
      <c r="N38" s="24" t="e">
        <f>VLOOKUP(35,Reg!$E$2:$M$202,9,0)</f>
        <v>#N/A</v>
      </c>
      <c r="O38" s="25" t="e">
        <f>VLOOKUP($B38,Reg!$M$3:$Q$202,5,0)</f>
        <v>#N/A</v>
      </c>
      <c r="P38" s="25" t="e">
        <f t="shared" si="6"/>
        <v>#VALUE!</v>
      </c>
      <c r="Q38" s="47">
        <f t="shared" si="7"/>
        <v>1000</v>
      </c>
      <c r="R38" s="54">
        <v>35</v>
      </c>
    </row>
    <row r="39" spans="1:18" ht="15" customHeight="1" x14ac:dyDescent="0.2">
      <c r="A39" s="26" t="str">
        <f t="shared" si="0"/>
        <v/>
      </c>
      <c r="B39" s="29" t="str">
        <f t="shared" si="1"/>
        <v/>
      </c>
      <c r="C39" s="43" t="str">
        <f>IF(ISNA($N39),"",VLOOKUP($B39,Reg!$M$3:$N$202,2,0))</f>
        <v/>
      </c>
      <c r="D39" s="31" t="str">
        <f>IF(ISNA($N39),"",VLOOKUP($B39,Reg!$M$3:$O$202,3,0))</f>
        <v/>
      </c>
      <c r="E39" s="35"/>
      <c r="F39" s="41"/>
      <c r="G39" s="36" t="str">
        <f t="shared" si="2"/>
        <v/>
      </c>
      <c r="H39" s="38" t="str">
        <f t="shared" si="3"/>
        <v/>
      </c>
      <c r="I39" s="29" t="str">
        <f>IF(ISNA($N39),"",VLOOKUP($B39,Reg!$M$3:$P$200,4,0))</f>
        <v/>
      </c>
      <c r="J39" s="46" t="str">
        <f t="shared" si="4"/>
        <v/>
      </c>
      <c r="K39" s="49" t="str">
        <f t="shared" si="5"/>
        <v/>
      </c>
      <c r="L39" s="27"/>
      <c r="M39" s="27"/>
      <c r="N39" s="24" t="e">
        <f>VLOOKUP(36,Reg!$E$2:$M$202,9,0)</f>
        <v>#N/A</v>
      </c>
      <c r="O39" s="25" t="e">
        <f>VLOOKUP($B39,Reg!$M$3:$Q$202,5,0)</f>
        <v>#N/A</v>
      </c>
      <c r="P39" s="25" t="e">
        <f t="shared" si="6"/>
        <v>#VALUE!</v>
      </c>
      <c r="Q39" s="47">
        <f t="shared" si="7"/>
        <v>1000</v>
      </c>
      <c r="R39" s="54">
        <v>36</v>
      </c>
    </row>
    <row r="40" spans="1:18" ht="15" customHeight="1" x14ac:dyDescent="0.2">
      <c r="A40" s="26" t="str">
        <f t="shared" si="0"/>
        <v/>
      </c>
      <c r="B40" s="29" t="str">
        <f t="shared" si="1"/>
        <v/>
      </c>
      <c r="C40" s="43" t="str">
        <f>IF(ISNA($N40),"",VLOOKUP($B40,Reg!$M$3:$N$202,2,0))</f>
        <v/>
      </c>
      <c r="D40" s="31" t="str">
        <f>IF(ISNA($N40),"",VLOOKUP($B40,Reg!$M$3:$O$202,3,0))</f>
        <v/>
      </c>
      <c r="E40" s="35"/>
      <c r="F40" s="41"/>
      <c r="G40" s="36" t="str">
        <f t="shared" si="2"/>
        <v/>
      </c>
      <c r="H40" s="38" t="str">
        <f t="shared" si="3"/>
        <v/>
      </c>
      <c r="I40" s="29" t="str">
        <f>IF(ISNA($N40),"",VLOOKUP($B40,Reg!$M$3:$P$200,4,0))</f>
        <v/>
      </c>
      <c r="J40" s="46" t="str">
        <f t="shared" si="4"/>
        <v/>
      </c>
      <c r="K40" s="49" t="str">
        <f t="shared" si="5"/>
        <v/>
      </c>
      <c r="L40" s="27"/>
      <c r="M40" s="27"/>
      <c r="N40" s="24" t="e">
        <f>VLOOKUP(37,Reg!$E$2:$M$202,9,0)</f>
        <v>#N/A</v>
      </c>
      <c r="O40" s="25" t="e">
        <f>VLOOKUP($B40,Reg!$M$3:$Q$202,5,0)</f>
        <v>#N/A</v>
      </c>
      <c r="P40" s="25" t="e">
        <f t="shared" si="6"/>
        <v>#VALUE!</v>
      </c>
      <c r="Q40" s="47">
        <f t="shared" si="7"/>
        <v>1000</v>
      </c>
      <c r="R40" s="54">
        <v>37</v>
      </c>
    </row>
    <row r="41" spans="1:18" ht="15" customHeight="1" x14ac:dyDescent="0.2">
      <c r="A41" s="26" t="str">
        <f t="shared" si="0"/>
        <v/>
      </c>
      <c r="B41" s="29" t="str">
        <f t="shared" si="1"/>
        <v/>
      </c>
      <c r="C41" s="43" t="str">
        <f>IF(ISNA($N41),"",VLOOKUP($B41,Reg!$M$3:$N$202,2,0))</f>
        <v/>
      </c>
      <c r="D41" s="31" t="str">
        <f>IF(ISNA($N41),"",VLOOKUP($B41,Reg!$M$3:$O$202,3,0))</f>
        <v/>
      </c>
      <c r="E41" s="35"/>
      <c r="F41" s="41"/>
      <c r="G41" s="36" t="str">
        <f t="shared" si="2"/>
        <v/>
      </c>
      <c r="H41" s="38" t="str">
        <f t="shared" si="3"/>
        <v/>
      </c>
      <c r="I41" s="29" t="str">
        <f>IF(ISNA($N41),"",VLOOKUP($B41,Reg!$M$3:$P$200,4,0))</f>
        <v/>
      </c>
      <c r="J41" s="46" t="str">
        <f t="shared" si="4"/>
        <v/>
      </c>
      <c r="K41" s="49" t="str">
        <f t="shared" si="5"/>
        <v/>
      </c>
      <c r="L41" s="27"/>
      <c r="M41" s="27"/>
      <c r="N41" s="24" t="e">
        <f>VLOOKUP(38,Reg!$E$2:$M$202,9,0)</f>
        <v>#N/A</v>
      </c>
      <c r="O41" s="25" t="e">
        <f>VLOOKUP($B41,Reg!$M$3:$Q$202,5,0)</f>
        <v>#N/A</v>
      </c>
      <c r="P41" s="25" t="e">
        <f t="shared" si="6"/>
        <v>#VALUE!</v>
      </c>
      <c r="Q41" s="47">
        <f t="shared" si="7"/>
        <v>1000</v>
      </c>
      <c r="R41" s="54">
        <v>38</v>
      </c>
    </row>
    <row r="42" spans="1:18" ht="15" customHeight="1" x14ac:dyDescent="0.2">
      <c r="A42" s="26" t="str">
        <f t="shared" si="0"/>
        <v/>
      </c>
      <c r="B42" s="29" t="str">
        <f t="shared" si="1"/>
        <v/>
      </c>
      <c r="C42" s="43" t="str">
        <f>IF(ISNA($N42),"",VLOOKUP($B42,Reg!$M$3:$N$202,2,0))</f>
        <v/>
      </c>
      <c r="D42" s="31" t="str">
        <f>IF(ISNA($N42),"",VLOOKUP($B42,Reg!$M$3:$O$202,3,0))</f>
        <v/>
      </c>
      <c r="E42" s="35"/>
      <c r="F42" s="41"/>
      <c r="G42" s="36" t="str">
        <f t="shared" si="2"/>
        <v/>
      </c>
      <c r="H42" s="38" t="str">
        <f t="shared" si="3"/>
        <v/>
      </c>
      <c r="I42" s="29" t="str">
        <f>IF(ISNA($N42),"",VLOOKUP($B42,Reg!$M$3:$P$200,4,0))</f>
        <v/>
      </c>
      <c r="J42" s="46" t="str">
        <f t="shared" si="4"/>
        <v/>
      </c>
      <c r="K42" s="49" t="str">
        <f t="shared" si="5"/>
        <v/>
      </c>
      <c r="L42" s="27"/>
      <c r="M42" s="27"/>
      <c r="N42" s="24" t="e">
        <f>VLOOKUP(39,Reg!$E$2:$M$202,9,0)</f>
        <v>#N/A</v>
      </c>
      <c r="O42" s="25" t="e">
        <f>VLOOKUP($B42,Reg!$M$3:$Q$202,5,0)</f>
        <v>#N/A</v>
      </c>
      <c r="P42" s="25" t="e">
        <f t="shared" si="6"/>
        <v>#VALUE!</v>
      </c>
      <c r="Q42" s="47">
        <f t="shared" si="7"/>
        <v>1000</v>
      </c>
      <c r="R42" s="54">
        <v>39</v>
      </c>
    </row>
    <row r="43" spans="1:18" ht="15" customHeight="1" x14ac:dyDescent="0.2">
      <c r="A43" s="26" t="str">
        <f t="shared" si="0"/>
        <v/>
      </c>
      <c r="B43" s="29" t="str">
        <f t="shared" si="1"/>
        <v/>
      </c>
      <c r="C43" s="43" t="str">
        <f>IF(ISNA($N43),"",VLOOKUP($B43,Reg!$M$3:$N$202,2,0))</f>
        <v/>
      </c>
      <c r="D43" s="31" t="str">
        <f>IF(ISNA($N43),"",VLOOKUP($B43,Reg!$M$3:$O$202,3,0))</f>
        <v/>
      </c>
      <c r="E43" s="35"/>
      <c r="F43" s="41"/>
      <c r="G43" s="36" t="str">
        <f t="shared" si="2"/>
        <v/>
      </c>
      <c r="H43" s="38" t="str">
        <f t="shared" si="3"/>
        <v/>
      </c>
      <c r="I43" s="29" t="str">
        <f>IF(ISNA($N43),"",VLOOKUP($B43,Reg!$M$3:$P$200,4,0))</f>
        <v/>
      </c>
      <c r="J43" s="46" t="str">
        <f t="shared" si="4"/>
        <v/>
      </c>
      <c r="K43" s="49" t="str">
        <f t="shared" si="5"/>
        <v/>
      </c>
      <c r="L43" s="27"/>
      <c r="M43" s="27"/>
      <c r="N43" s="24" t="e">
        <f>VLOOKUP(40,Reg!$E$2:$M$202,9,0)</f>
        <v>#N/A</v>
      </c>
      <c r="O43" s="25" t="e">
        <f>VLOOKUP($B43,Reg!$M$3:$Q$202,5,0)</f>
        <v>#N/A</v>
      </c>
      <c r="P43" s="25" t="e">
        <f t="shared" si="6"/>
        <v>#VALUE!</v>
      </c>
      <c r="Q43" s="47">
        <f t="shared" si="7"/>
        <v>1000</v>
      </c>
      <c r="R43" s="54">
        <v>40</v>
      </c>
    </row>
    <row r="44" spans="1:18" x14ac:dyDescent="0.2">
      <c r="A44" s="26" t="str">
        <f t="shared" ref="A44:A48" si="8">IF($B44="","",ROW()-3)</f>
        <v/>
      </c>
      <c r="B44" s="29" t="str">
        <f t="shared" ref="B44:B48" si="9">IF(ISNA($N44),"",$N44)</f>
        <v/>
      </c>
      <c r="C44" s="43" t="str">
        <f>IF(ISNA($N44),"",VLOOKUP($B44,Reg!$M$3:$N$202,2,0))</f>
        <v/>
      </c>
      <c r="D44" s="31" t="str">
        <f>IF(ISNA($N44),"",VLOOKUP($B44,Reg!$M$3:$O$202,3,0))</f>
        <v/>
      </c>
      <c r="E44" s="35"/>
      <c r="F44" s="41"/>
      <c r="G44" s="36" t="str">
        <f t="shared" ref="G44:G48" si="10">IF(ISBLANK($E44),"",IF(ISBLANK($F44),0,$F44*2))</f>
        <v/>
      </c>
      <c r="H44" s="38" t="str">
        <f t="shared" ref="H44:H48" si="11">IF(ISBLANK($E44),"",TEXT($P44,"###")&amp;IF($P44=0,""," мин ")&amp;TEXT($E44+$G44-$P44*60,"###,###")&amp;" с")</f>
        <v/>
      </c>
      <c r="I44" s="29" t="str">
        <f>IF(ISNA($N44),"",VLOOKUP($B44,Reg!$M$3:$P$200,4,0))</f>
        <v/>
      </c>
      <c r="J44" s="46" t="str">
        <f t="shared" ref="J44:J53" si="12">IF(ISNA($O44),"",IF($O44=0,"",$O44))</f>
        <v/>
      </c>
      <c r="K44" s="49" t="str">
        <f t="shared" ref="K44:K48" si="13">IF($E44&gt;0,RANK($Q44,$Q$4:$Q$50,1),"")</f>
        <v/>
      </c>
      <c r="L44" s="27"/>
      <c r="M44" s="27"/>
      <c r="N44" s="24" t="e">
        <f>VLOOKUP(41,Reg!$E$2:$M$202,9,0)</f>
        <v>#N/A</v>
      </c>
      <c r="O44" s="25" t="e">
        <f>VLOOKUP($B44,Reg!$M$3:$Q$202,5,0)</f>
        <v>#N/A</v>
      </c>
      <c r="P44" s="25" t="e">
        <f t="shared" ref="P44:P48" si="14">INT((E44+G44)/60)</f>
        <v>#VALUE!</v>
      </c>
      <c r="Q44" s="47">
        <f t="shared" ref="Q44:Q48" si="15">IF($E44&gt;0,$E44+$G44,1000)</f>
        <v>1000</v>
      </c>
      <c r="R44" s="54">
        <v>41</v>
      </c>
    </row>
    <row r="45" spans="1:18" x14ac:dyDescent="0.2">
      <c r="A45" s="26" t="str">
        <f t="shared" si="8"/>
        <v/>
      </c>
      <c r="B45" s="29" t="str">
        <f t="shared" si="9"/>
        <v/>
      </c>
      <c r="C45" s="43" t="str">
        <f>IF(ISNA($N45),"",VLOOKUP($B45,Reg!$M$3:$N$202,2,0))</f>
        <v/>
      </c>
      <c r="D45" s="31" t="str">
        <f>IF(ISNA($N45),"",VLOOKUP($B45,Reg!$M$3:$O$202,3,0))</f>
        <v/>
      </c>
      <c r="E45" s="35"/>
      <c r="F45" s="41"/>
      <c r="G45" s="36" t="str">
        <f t="shared" si="10"/>
        <v/>
      </c>
      <c r="H45" s="38" t="str">
        <f t="shared" si="11"/>
        <v/>
      </c>
      <c r="I45" s="29" t="str">
        <f>IF(ISNA($N45),"",VLOOKUP($B45,Reg!$M$3:$P$200,4,0))</f>
        <v/>
      </c>
      <c r="J45" s="46" t="str">
        <f t="shared" si="12"/>
        <v/>
      </c>
      <c r="K45" s="49" t="str">
        <f t="shared" si="13"/>
        <v/>
      </c>
      <c r="L45" s="27"/>
      <c r="M45" s="27"/>
      <c r="N45" s="24" t="e">
        <f>VLOOKUP(42,Reg!$E$2:$M$202,9,0)</f>
        <v>#N/A</v>
      </c>
      <c r="O45" s="25" t="e">
        <f>VLOOKUP($B45,Reg!$M$3:$Q$202,5,0)</f>
        <v>#N/A</v>
      </c>
      <c r="P45" s="25" t="e">
        <f t="shared" si="14"/>
        <v>#VALUE!</v>
      </c>
      <c r="Q45" s="47">
        <f t="shared" si="15"/>
        <v>1000</v>
      </c>
      <c r="R45" s="54">
        <v>42</v>
      </c>
    </row>
    <row r="46" spans="1:18" x14ac:dyDescent="0.2">
      <c r="A46" s="26" t="str">
        <f t="shared" si="8"/>
        <v/>
      </c>
      <c r="B46" s="29" t="str">
        <f t="shared" si="9"/>
        <v/>
      </c>
      <c r="C46" s="43" t="str">
        <f>IF(ISNA($N46),"",VLOOKUP($B46,Reg!$M$3:$N$202,2,0))</f>
        <v/>
      </c>
      <c r="D46" s="31" t="str">
        <f>IF(ISNA($N46),"",VLOOKUP($B46,Reg!$M$3:$O$202,3,0))</f>
        <v/>
      </c>
      <c r="E46" s="35"/>
      <c r="F46" s="41"/>
      <c r="G46" s="36" t="str">
        <f t="shared" si="10"/>
        <v/>
      </c>
      <c r="H46" s="38" t="str">
        <f t="shared" si="11"/>
        <v/>
      </c>
      <c r="I46" s="29" t="str">
        <f>IF(ISNA($N46),"",VLOOKUP($B46,Reg!$M$3:$P$200,4,0))</f>
        <v/>
      </c>
      <c r="J46" s="46" t="str">
        <f t="shared" si="12"/>
        <v/>
      </c>
      <c r="K46" s="49" t="str">
        <f t="shared" si="13"/>
        <v/>
      </c>
      <c r="L46" s="27"/>
      <c r="M46" s="27"/>
      <c r="N46" s="24" t="e">
        <f>VLOOKUP(43,Reg!$E$2:$M$202,9,0)</f>
        <v>#N/A</v>
      </c>
      <c r="O46" s="25" t="e">
        <f>VLOOKUP($B46,Reg!$M$3:$Q$202,5,0)</f>
        <v>#N/A</v>
      </c>
      <c r="P46" s="25" t="e">
        <f t="shared" si="14"/>
        <v>#VALUE!</v>
      </c>
      <c r="Q46" s="47">
        <f t="shared" si="15"/>
        <v>1000</v>
      </c>
      <c r="R46" s="54">
        <v>43</v>
      </c>
    </row>
    <row r="47" spans="1:18" x14ac:dyDescent="0.2">
      <c r="A47" s="26" t="str">
        <f t="shared" si="8"/>
        <v/>
      </c>
      <c r="B47" s="29" t="str">
        <f t="shared" si="9"/>
        <v/>
      </c>
      <c r="C47" s="43" t="str">
        <f>IF(ISNA($N47),"",VLOOKUP($B47,Reg!$M$3:$N$202,2,0))</f>
        <v/>
      </c>
      <c r="D47" s="31" t="str">
        <f>IF(ISNA($N47),"",VLOOKUP($B47,Reg!$M$3:$O$202,3,0))</f>
        <v/>
      </c>
      <c r="E47" s="35"/>
      <c r="F47" s="41"/>
      <c r="G47" s="36" t="str">
        <f t="shared" si="10"/>
        <v/>
      </c>
      <c r="H47" s="38" t="str">
        <f t="shared" si="11"/>
        <v/>
      </c>
      <c r="I47" s="29" t="str">
        <f>IF(ISNA($N47),"",VLOOKUP($B47,Reg!$M$3:$P$200,4,0))</f>
        <v/>
      </c>
      <c r="J47" s="46" t="str">
        <f t="shared" si="12"/>
        <v/>
      </c>
      <c r="K47" s="49" t="str">
        <f t="shared" si="13"/>
        <v/>
      </c>
      <c r="N47" s="24" t="e">
        <f>VLOOKUP(44,Reg!$E$2:$M$202,9,0)</f>
        <v>#N/A</v>
      </c>
      <c r="O47" s="25" t="e">
        <f>VLOOKUP($B47,Reg!$M$3:$Q$202,5,0)</f>
        <v>#N/A</v>
      </c>
      <c r="P47" s="25" t="e">
        <f t="shared" si="14"/>
        <v>#VALUE!</v>
      </c>
      <c r="Q47" s="47">
        <f t="shared" si="15"/>
        <v>1000</v>
      </c>
      <c r="R47" s="54">
        <v>44</v>
      </c>
    </row>
    <row r="48" spans="1:18" x14ac:dyDescent="0.2">
      <c r="A48" s="26" t="str">
        <f t="shared" si="8"/>
        <v/>
      </c>
      <c r="B48" s="29" t="str">
        <f t="shared" si="9"/>
        <v/>
      </c>
      <c r="C48" s="43" t="str">
        <f>IF(ISNA($N48),"",VLOOKUP($B48,Reg!$M$3:$N$202,2,0))</f>
        <v/>
      </c>
      <c r="D48" s="31" t="str">
        <f>IF(ISNA($N48),"",VLOOKUP($B48,Reg!$M$3:$O$202,3,0))</f>
        <v/>
      </c>
      <c r="E48" s="35"/>
      <c r="F48" s="41"/>
      <c r="G48" s="36" t="str">
        <f t="shared" si="10"/>
        <v/>
      </c>
      <c r="H48" s="38" t="str">
        <f t="shared" si="11"/>
        <v/>
      </c>
      <c r="I48" s="29" t="str">
        <f>IF(ISNA($N48),"",VLOOKUP($B48,Reg!$M$3:$P$200,4,0))</f>
        <v/>
      </c>
      <c r="J48" s="46" t="str">
        <f t="shared" si="12"/>
        <v/>
      </c>
      <c r="K48" s="49" t="str">
        <f t="shared" si="13"/>
        <v/>
      </c>
      <c r="N48" s="24" t="e">
        <f>VLOOKUP(45,Reg!$E$2:$M$202,9,0)</f>
        <v>#N/A</v>
      </c>
      <c r="O48" s="25" t="e">
        <f>VLOOKUP($B48,Reg!$M$3:$Q$202,5,0)</f>
        <v>#N/A</v>
      </c>
      <c r="P48" s="25" t="e">
        <f t="shared" si="14"/>
        <v>#VALUE!</v>
      </c>
      <c r="Q48" s="47">
        <f t="shared" si="15"/>
        <v>1000</v>
      </c>
      <c r="R48" s="54">
        <v>45</v>
      </c>
    </row>
    <row r="49" spans="1:18" x14ac:dyDescent="0.2">
      <c r="A49" s="26" t="str">
        <f t="shared" ref="A49:A53" si="16">IF($B49="","",ROW()-3)</f>
        <v/>
      </c>
      <c r="B49" s="29" t="str">
        <f t="shared" ref="B49:B53" si="17">IF(ISNA($N49),"",$N49)</f>
        <v/>
      </c>
      <c r="C49" s="43" t="str">
        <f>IF(ISNA($N49),"",VLOOKUP($B49,Reg!$M$3:$N$202,2,0))</f>
        <v/>
      </c>
      <c r="D49" s="31" t="str">
        <f>IF(ISNA($N49),"",VLOOKUP($B49,Reg!$M$3:$O$202,3,0))</f>
        <v/>
      </c>
      <c r="E49" s="35"/>
      <c r="F49" s="41"/>
      <c r="G49" s="36" t="str">
        <f t="shared" ref="G49:G53" si="18">IF(ISBLANK($E49),"",IF(ISBLANK($F49),0,$F49*2))</f>
        <v/>
      </c>
      <c r="H49" s="38" t="str">
        <f t="shared" ref="H49:H53" si="19">IF(ISBLANK($E49),"",TEXT($P49,"###")&amp;IF($P49=0,""," мин ")&amp;TEXT($E49+$G49-$P49*60,"###,###")&amp;" с")</f>
        <v/>
      </c>
      <c r="I49" s="29" t="str">
        <f>IF(ISNA($N49),"",VLOOKUP($B49,Reg!$M$3:$P$200,4,0))</f>
        <v/>
      </c>
      <c r="J49" s="46" t="str">
        <f t="shared" si="12"/>
        <v/>
      </c>
      <c r="K49" s="49" t="str">
        <f t="shared" ref="K49:K53" si="20">IF($E49&gt;0,RANK($Q49,$Q$4:$Q$50,1),"")</f>
        <v/>
      </c>
      <c r="N49" s="24" t="e">
        <f>VLOOKUP(46,Reg!$E$2:$M$202,9,0)</f>
        <v>#N/A</v>
      </c>
      <c r="O49" s="25" t="e">
        <f>VLOOKUP($B49,Reg!$M$3:$Q$202,5,0)</f>
        <v>#N/A</v>
      </c>
      <c r="P49" s="25" t="e">
        <f t="shared" ref="P49:P50" si="21">INT((E49+G49)/60)</f>
        <v>#VALUE!</v>
      </c>
      <c r="Q49" s="47">
        <f t="shared" ref="Q49:Q53" si="22">IF($E49&gt;0,$E49+$G49,1000)</f>
        <v>1000</v>
      </c>
      <c r="R49" s="54">
        <v>46</v>
      </c>
    </row>
    <row r="50" spans="1:18" x14ac:dyDescent="0.2">
      <c r="A50" s="26" t="str">
        <f t="shared" si="16"/>
        <v/>
      </c>
      <c r="B50" s="29" t="str">
        <f t="shared" si="17"/>
        <v/>
      </c>
      <c r="C50" s="43" t="str">
        <f>IF(ISNA($N50),"",VLOOKUP($B50,Reg!$M$3:$N$202,2,0))</f>
        <v/>
      </c>
      <c r="D50" s="31" t="str">
        <f>IF(ISNA($N50),"",VLOOKUP($B50,Reg!$M$3:$O$202,3,0))</f>
        <v/>
      </c>
      <c r="E50" s="35"/>
      <c r="F50" s="41"/>
      <c r="G50" s="36" t="str">
        <f t="shared" si="18"/>
        <v/>
      </c>
      <c r="H50" s="38" t="str">
        <f t="shared" si="19"/>
        <v/>
      </c>
      <c r="I50" s="29" t="str">
        <f>IF(ISNA($N50),"",VLOOKUP($B50,Reg!$M$3:$P$200,4,0))</f>
        <v/>
      </c>
      <c r="J50" s="46" t="str">
        <f t="shared" si="12"/>
        <v/>
      </c>
      <c r="K50" s="49" t="str">
        <f t="shared" si="20"/>
        <v/>
      </c>
      <c r="N50" s="24" t="e">
        <f>VLOOKUP(47,Reg!$E$2:$M$202,9,0)</f>
        <v>#N/A</v>
      </c>
      <c r="O50" s="25" t="e">
        <f>VLOOKUP($B50,Reg!$M$3:$Q$202,5,0)</f>
        <v>#N/A</v>
      </c>
      <c r="P50" s="25" t="e">
        <f t="shared" si="21"/>
        <v>#VALUE!</v>
      </c>
      <c r="Q50" s="47">
        <f t="shared" si="22"/>
        <v>1000</v>
      </c>
      <c r="R50" s="54">
        <v>47</v>
      </c>
    </row>
    <row r="51" spans="1:18" x14ac:dyDescent="0.2">
      <c r="A51" s="26" t="str">
        <f t="shared" si="16"/>
        <v/>
      </c>
      <c r="B51" s="29" t="str">
        <f t="shared" si="17"/>
        <v/>
      </c>
      <c r="C51" s="43" t="str">
        <f>IF(ISNA($N51),"",VLOOKUP($B51,Reg!$M$3:$N$202,2,0))</f>
        <v/>
      </c>
      <c r="D51" s="31" t="str">
        <f>IF(ISNA($N51),"",VLOOKUP($B51,Reg!$M$3:$O$202,3,0))</f>
        <v/>
      </c>
      <c r="E51" s="35"/>
      <c r="F51" s="41"/>
      <c r="G51" s="36" t="str">
        <f t="shared" si="18"/>
        <v/>
      </c>
      <c r="H51" s="38" t="str">
        <f t="shared" si="19"/>
        <v/>
      </c>
      <c r="I51" s="29" t="str">
        <f>IF(ISNA($N51),"",VLOOKUP($B51,Reg!$M$3:$P$200,4,0))</f>
        <v/>
      </c>
      <c r="J51" s="46" t="str">
        <f t="shared" si="12"/>
        <v/>
      </c>
      <c r="K51" s="49" t="str">
        <f t="shared" si="20"/>
        <v/>
      </c>
      <c r="N51" s="24" t="e">
        <f>VLOOKUP(47,Reg!$E$2:$M$202,9,0)</f>
        <v>#N/A</v>
      </c>
      <c r="O51" s="25" t="e">
        <f>VLOOKUP($B51,Reg!$M$3:$Q$202,5,0)</f>
        <v>#N/A</v>
      </c>
      <c r="P51" s="25" t="e">
        <f t="shared" ref="P51:P53" si="23">INT((E51+G51)/60)</f>
        <v>#VALUE!</v>
      </c>
      <c r="Q51" s="47">
        <f t="shared" si="22"/>
        <v>1000</v>
      </c>
      <c r="R51" s="54">
        <v>48</v>
      </c>
    </row>
    <row r="52" spans="1:18" x14ac:dyDescent="0.2">
      <c r="A52" s="26" t="str">
        <f t="shared" si="16"/>
        <v/>
      </c>
      <c r="B52" s="29" t="str">
        <f t="shared" si="17"/>
        <v/>
      </c>
      <c r="C52" s="43" t="str">
        <f>IF(ISNA($N52),"",VLOOKUP($B52,Reg!$M$3:$N$202,2,0))</f>
        <v/>
      </c>
      <c r="D52" s="31" t="str">
        <f>IF(ISNA($N52),"",VLOOKUP($B52,Reg!$M$3:$O$202,3,0))</f>
        <v/>
      </c>
      <c r="E52" s="35"/>
      <c r="F52" s="41"/>
      <c r="G52" s="36" t="str">
        <f t="shared" si="18"/>
        <v/>
      </c>
      <c r="H52" s="38" t="str">
        <f t="shared" si="19"/>
        <v/>
      </c>
      <c r="I52" s="29" t="str">
        <f>IF(ISNA($N52),"",VLOOKUP($B52,Reg!$M$3:$P$200,4,0))</f>
        <v/>
      </c>
      <c r="J52" s="46" t="str">
        <f t="shared" si="12"/>
        <v/>
      </c>
      <c r="K52" s="49" t="str">
        <f t="shared" si="20"/>
        <v/>
      </c>
      <c r="N52" s="24" t="e">
        <f>VLOOKUP(47,Reg!$E$2:$M$202,9,0)</f>
        <v>#N/A</v>
      </c>
      <c r="O52" s="25" t="e">
        <f>VLOOKUP($B52,Reg!$M$3:$Q$202,5,0)</f>
        <v>#N/A</v>
      </c>
      <c r="P52" s="25" t="e">
        <f t="shared" si="23"/>
        <v>#VALUE!</v>
      </c>
      <c r="Q52" s="47">
        <f t="shared" si="22"/>
        <v>1000</v>
      </c>
      <c r="R52" s="54">
        <v>49</v>
      </c>
    </row>
    <row r="53" spans="1:18" x14ac:dyDescent="0.2">
      <c r="A53" s="26" t="str">
        <f t="shared" si="16"/>
        <v/>
      </c>
      <c r="B53" s="29" t="str">
        <f t="shared" si="17"/>
        <v/>
      </c>
      <c r="C53" s="43" t="str">
        <f>IF(ISNA($N53),"",VLOOKUP($B53,Reg!$M$3:$N$202,2,0))</f>
        <v/>
      </c>
      <c r="D53" s="31" t="str">
        <f>IF(ISNA($N53),"",VLOOKUP($B53,Reg!$M$3:$O$202,3,0))</f>
        <v/>
      </c>
      <c r="E53" s="35"/>
      <c r="F53" s="41"/>
      <c r="G53" s="36" t="str">
        <f t="shared" si="18"/>
        <v/>
      </c>
      <c r="H53" s="38" t="str">
        <f t="shared" si="19"/>
        <v/>
      </c>
      <c r="I53" s="29" t="str">
        <f>IF(ISNA($N53),"",VLOOKUP($B53,Reg!$M$3:$P$200,4,0))</f>
        <v/>
      </c>
      <c r="J53" s="46" t="str">
        <f t="shared" si="12"/>
        <v/>
      </c>
      <c r="K53" s="49" t="str">
        <f t="shared" si="20"/>
        <v/>
      </c>
      <c r="N53" s="24" t="e">
        <f>VLOOKUP(47,Reg!$E$2:$M$202,9,0)</f>
        <v>#N/A</v>
      </c>
      <c r="O53" s="25" t="e">
        <f>VLOOKUP($B53,Reg!$M$3:$Q$202,5,0)</f>
        <v>#N/A</v>
      </c>
      <c r="P53" s="25" t="e">
        <f t="shared" si="23"/>
        <v>#VALUE!</v>
      </c>
      <c r="Q53" s="47">
        <f t="shared" si="22"/>
        <v>1000</v>
      </c>
      <c r="R53" s="54">
        <v>50</v>
      </c>
    </row>
  </sheetData>
  <sortState ref="A4:R10">
    <sortCondition ref="K4:K10"/>
  </sortState>
  <mergeCells count="2">
    <mergeCell ref="A2:J2"/>
    <mergeCell ref="A1:K1"/>
  </mergeCells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Reg</vt:lpstr>
      <vt:lpstr>List</vt:lpstr>
      <vt:lpstr>А (Ж)</vt:lpstr>
      <vt:lpstr>А (М)</vt:lpstr>
      <vt:lpstr>B (Ж)</vt:lpstr>
      <vt:lpstr>B (М)</vt:lpstr>
      <vt:lpstr>C (Ж)</vt:lpstr>
      <vt:lpstr>C (М)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Raell</dc:creator>
  <cp:lastModifiedBy>Man</cp:lastModifiedBy>
  <cp:lastPrinted>2013-06-01T20:21:45Z</cp:lastPrinted>
  <dcterms:created xsi:type="dcterms:W3CDTF">2011-05-17T05:07:30Z</dcterms:created>
  <dcterms:modified xsi:type="dcterms:W3CDTF">2014-06-08T11:35:17Z</dcterms:modified>
</cp:coreProperties>
</file>